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8235" tabRatio="689" firstSheet="1" activeTab="1"/>
  </bookViews>
  <sheets>
    <sheet name="Traduction" sheetId="1" state="hidden" r:id="rId1"/>
    <sheet name="Liste Armée" sheetId="2" r:id="rId2"/>
    <sheet name="Données" sheetId="3" state="hidden" r:id="rId3"/>
    <sheet name="Read Me" sheetId="4" r:id="rId4"/>
    <sheet name="Francais - Evolutions" sheetId="5" r:id="rId5"/>
    <sheet name="English - Revisions" sheetId="6" r:id="rId6"/>
    <sheet name="Espanol - Revisions" sheetId="7" r:id="rId7"/>
    <sheet name="Deutsh- Revisions" sheetId="8" r:id="rId8"/>
  </sheets>
  <definedNames>
    <definedName name="_xlnm._FilterDatabase" localSheetId="1" hidden="1">'Liste Armée'!$C$23:$C$63</definedName>
    <definedName name="Ally">'Données'!$H$86:$H$88</definedName>
    <definedName name="Armure">'Données'!$D$86:$D$90</definedName>
    <definedName name="Attrition_Table">'Données'!$AE$49:$AF$72</definedName>
    <definedName name="camp">'Données'!$I$86:$I$87</definedName>
    <definedName name="Charge">'Données'!$H$86:$H$93</definedName>
    <definedName name="Colonne_Tableau_listes">'Données'!$BP$2:$HJ$2</definedName>
    <definedName name="colonnes_autobreack">'Données'!$B$107:$K$107</definedName>
    <definedName name="Colonnes_table_budget">'Données'!$B$3:$H$3</definedName>
    <definedName name="Combat">'Données'!$Q$77:$Q$89</definedName>
    <definedName name="Divers">'Données'!$J$86:$J$88</definedName>
    <definedName name="impact">'Données'!$J$21:$K$31</definedName>
    <definedName name="Language_choices">'Traduction'!$1:$1</definedName>
    <definedName name="livret">'Données'!$BP$3:$BP$16</definedName>
    <definedName name="Local_language">'Liste Armée'!$L$12:$L$12</definedName>
    <definedName name="Melée">'Données'!$Q$1:$R$16</definedName>
    <definedName name="ordre_de_marche">'Données'!$M$18:$N$56</definedName>
    <definedName name="_xlnm.Print_Area" localSheetId="1">'Liste Armée'!$A$1:$BZ$108</definedName>
    <definedName name="Prix_commandant">'Données'!$J$95:$K$98</definedName>
    <definedName name="Quality">'Données'!$E$86:$E$90</definedName>
    <definedName name="ref_langue" localSheetId="7">MATCH(Local_language,Language_choices,FALSE)</definedName>
    <definedName name="ref_langue" localSheetId="5">MATCH(Local_language,Language_choices,FALSE)</definedName>
    <definedName name="ref_langue" localSheetId="6">MATCH(Local_language,Language_choices,FALSE)</definedName>
    <definedName name="ref_langue" localSheetId="4">MATCH(Local_language,Language_choices,FALSE)</definedName>
    <definedName name="ref_langue">MATCH(Local_language,Language_choices,FALSE)</definedName>
    <definedName name="ref_langue_6">MATCH(Local_language,Language_choices,FALSE)</definedName>
    <definedName name="Special">'Données'!$J$86:$J$88</definedName>
    <definedName name="Table_armes_impact">'Données'!$J$21:$K$31</definedName>
    <definedName name="Table_armes_melee">'Données'!$Q$1:$R$16</definedName>
    <definedName name="Table_armes_tir">'Données'!$J$4:$K$19</definedName>
    <definedName name="Table_budget">'Données'!$B$3:$H$37</definedName>
    <definedName name="Table_budget_infanterie">'Données'!$B$4:$G$7</definedName>
    <definedName name="table_eclaireur">'Données'!$M$13:$N$16</definedName>
    <definedName name="table_general">'Données'!$J$45:$K$49</definedName>
    <definedName name="Table_special">'Données'!$M$5:$N$6</definedName>
    <definedName name="tableau_autobreack">'Données'!$B$107:$K$112</definedName>
    <definedName name="Tableau_listes">'Données'!$BP$2:$HJ$16</definedName>
    <definedName name="Terrain">'Données'!$L$86:$L$94</definedName>
    <definedName name="Tir">'Données'!$G$86:$G$95</definedName>
    <definedName name="Training">'Données'!$F$86:$F$88</definedName>
    <definedName name="Type">'Données'!$C$86:$C$101</definedName>
    <definedName name="type_de_commandant">'Données'!$J$95:$J$98</definedName>
    <definedName name="Zone_Traduction">INDIRECT('Données'!$B$1)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3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b/>
            <sz val="10"/>
            <color indexed="8"/>
            <rFont val="Tahoma"/>
            <family val="2"/>
          </rPr>
          <t>) click on button
2) uncheck Empty
3) Sort by order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b/>
            <sz val="10"/>
            <color indexed="8"/>
            <rFont val="Tahoma"/>
            <family val="2"/>
          </rPr>
          <t>) click on button
2) uncheck Empty
3) Sort by order</t>
        </r>
      </text>
    </comment>
    <comment ref="B68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b/>
            <sz val="10"/>
            <color indexed="8"/>
            <rFont val="Tahoma"/>
            <family val="2"/>
          </rPr>
          <t>) click on button
2) uncheck Empty
3) Sort by order</t>
        </r>
      </text>
    </comment>
  </commentList>
</comments>
</file>

<file path=xl/sharedStrings.xml><?xml version="1.0" encoding="utf-8"?>
<sst xmlns="http://schemas.openxmlformats.org/spreadsheetml/2006/main" count="2580" uniqueCount="1209">
  <si>
    <t>English</t>
  </si>
  <si>
    <t>Français</t>
  </si>
  <si>
    <t>Español</t>
  </si>
  <si>
    <t>Deutsch</t>
  </si>
  <si>
    <t>Italiano</t>
  </si>
  <si>
    <t>Address:</t>
  </si>
  <si>
    <t>Adresse:</t>
  </si>
  <si>
    <t>Dirección:</t>
  </si>
  <si>
    <t>Adresse</t>
  </si>
  <si>
    <t>Indirizzo</t>
  </si>
  <si>
    <t>Agricultural</t>
  </si>
  <si>
    <t>Rural</t>
  </si>
  <si>
    <t>Agrícola</t>
  </si>
  <si>
    <t>Landwirtschaftlich</t>
  </si>
  <si>
    <t>Agricolo</t>
  </si>
  <si>
    <t>Allies</t>
  </si>
  <si>
    <t>Allié</t>
  </si>
  <si>
    <t>Combinado</t>
  </si>
  <si>
    <t>Alliierte</t>
  </si>
  <si>
    <t>Alleati</t>
  </si>
  <si>
    <t>Ally general</t>
  </si>
  <si>
    <t>Général allié</t>
  </si>
  <si>
    <t>General combinado</t>
  </si>
  <si>
    <t>Alliierter Befehlshaber</t>
  </si>
  <si>
    <t>Generale alleato</t>
  </si>
  <si>
    <t>Ally?</t>
  </si>
  <si>
    <t>Allié?</t>
  </si>
  <si>
    <t>Aliado?</t>
  </si>
  <si>
    <t>Alliierter?</t>
  </si>
  <si>
    <t>Alleato?</t>
  </si>
  <si>
    <t>Armour</t>
  </si>
  <si>
    <t>Armure</t>
  </si>
  <si>
    <t>Armadura</t>
  </si>
  <si>
    <t>Rüstung</t>
  </si>
  <si>
    <t>Armatura</t>
  </si>
  <si>
    <t>Armoured</t>
  </si>
  <si>
    <t>Cuirassé</t>
  </si>
  <si>
    <t>Acorazado</t>
  </si>
  <si>
    <t>Gepanzert</t>
  </si>
  <si>
    <t>Corazzato</t>
  </si>
  <si>
    <t>Army Date</t>
  </si>
  <si>
    <t>Date de l'armée</t>
  </si>
  <si>
    <t>Fecha del ejército</t>
  </si>
  <si>
    <t>Armeedatum</t>
  </si>
  <si>
    <t>Data dell'esercito</t>
  </si>
  <si>
    <t>Army Information</t>
  </si>
  <si>
    <t>Information sur l'armée</t>
  </si>
  <si>
    <t>Información sobre el ejército</t>
  </si>
  <si>
    <t>Informationen über die Armee</t>
  </si>
  <si>
    <t>Informazioni sull'esercito</t>
  </si>
  <si>
    <t>Attrition Point Value for FOG scoresheet</t>
  </si>
  <si>
    <t>Valeur d'attrition pour la feuille de score FOG</t>
  </si>
  <si>
    <t>Verlustpunkt Wert für den FOG Abrechnungsbogen</t>
  </si>
  <si>
    <t>Valore dei Punti di Attrito per la tabella dei punteggi di FOG</t>
  </si>
  <si>
    <t>Autobreak</t>
  </si>
  <si>
    <t>Demo automatique</t>
  </si>
  <si>
    <t>Automatisches brechen</t>
  </si>
  <si>
    <t>Punto di rottura spontanea</t>
  </si>
  <si>
    <t>Average</t>
  </si>
  <si>
    <t>Moyenne</t>
  </si>
  <si>
    <t>Media</t>
  </si>
  <si>
    <t>Durchschnittlich</t>
  </si>
  <si>
    <t>Medio</t>
  </si>
  <si>
    <t>BG Deployment</t>
  </si>
  <si>
    <t>Déploiement des BG</t>
  </si>
  <si>
    <t>Despliegue de BG</t>
  </si>
  <si>
    <t>Aufteilung der KV</t>
  </si>
  <si>
    <t>Schieramento dei BG</t>
  </si>
  <si>
    <t>BG Value</t>
  </si>
  <si>
    <t>Valeur du BG</t>
  </si>
  <si>
    <t>Valor de BG</t>
  </si>
  <si>
    <t>KV Wert</t>
  </si>
  <si>
    <t>Valore dei BG</t>
  </si>
  <si>
    <t>BHGS number:</t>
  </si>
  <si>
    <t>N° FFJH:</t>
  </si>
  <si>
    <t>Nº FIJSH:</t>
  </si>
  <si>
    <t>BHGS Nummer</t>
  </si>
  <si>
    <t>Numero del BHGS</t>
  </si>
  <si>
    <t>Book Name</t>
  </si>
  <si>
    <t>Nom du livret</t>
  </si>
  <si>
    <t>Nombre del libro</t>
  </si>
  <si>
    <t>Buchtitel:</t>
  </si>
  <si>
    <t>Nome del libro</t>
  </si>
  <si>
    <t>Bow</t>
  </si>
  <si>
    <t xml:space="preserve">Arcs  </t>
  </si>
  <si>
    <t>Arcos</t>
  </si>
  <si>
    <t>Bogen</t>
  </si>
  <si>
    <t>Arco</t>
  </si>
  <si>
    <t>Bw*</t>
  </si>
  <si>
    <t xml:space="preserve"> Arc*</t>
  </si>
  <si>
    <t>Arco*</t>
  </si>
  <si>
    <t>Bogen*</t>
  </si>
  <si>
    <t>Camelry</t>
  </si>
  <si>
    <t>Chamelerie</t>
  </si>
  <si>
    <t>Camellería</t>
  </si>
  <si>
    <t>Kamelreiter</t>
  </si>
  <si>
    <t>Cammelli</t>
  </si>
  <si>
    <t>Capabilities</t>
  </si>
  <si>
    <t>Capacités</t>
  </si>
  <si>
    <t>Capacidades</t>
  </si>
  <si>
    <t>Fähigkeiten</t>
  </si>
  <si>
    <t>Abilità</t>
  </si>
  <si>
    <t>CinC</t>
  </si>
  <si>
    <t>OB</t>
  </si>
  <si>
    <t>Close Combat</t>
  </si>
  <si>
    <t>Corps à corps</t>
  </si>
  <si>
    <t xml:space="preserve"> melee</t>
  </si>
  <si>
    <t>Nahkampf</t>
  </si>
  <si>
    <t>Combattimento corpo a corpo</t>
  </si>
  <si>
    <t>Club</t>
  </si>
  <si>
    <t>Commander Name</t>
  </si>
  <si>
    <t>Nom des Commandants</t>
  </si>
  <si>
    <t>Nombre de Commandantes</t>
  </si>
  <si>
    <t>Name der Befehlshaber</t>
  </si>
  <si>
    <t>Nome del comandante</t>
  </si>
  <si>
    <t>Commander Type</t>
  </si>
  <si>
    <t>Type de Commandant</t>
  </si>
  <si>
    <t>Tipo de Commandante</t>
  </si>
  <si>
    <t>Befehlshabertyp</t>
  </si>
  <si>
    <t xml:space="preserve">Tipo di comandante </t>
  </si>
  <si>
    <t>Cost</t>
  </si>
  <si>
    <t>Coût</t>
  </si>
  <si>
    <t>Coste</t>
  </si>
  <si>
    <t>Kosten</t>
  </si>
  <si>
    <t>Costo</t>
  </si>
  <si>
    <t>Crossbow</t>
  </si>
  <si>
    <t>Arbalète</t>
  </si>
  <si>
    <t>Ballesta</t>
  </si>
  <si>
    <t>Armbrust</t>
  </si>
  <si>
    <t>Balestra</t>
  </si>
  <si>
    <t>Defensive Spearmen</t>
  </si>
  <si>
    <t>Lancier défensif</t>
  </si>
  <si>
    <t>Lanceros defensivos</t>
  </si>
  <si>
    <t>Defensive Speerträger</t>
  </si>
  <si>
    <t>Lance difensivo</t>
  </si>
  <si>
    <t>Desert</t>
  </si>
  <si>
    <t>Désert</t>
  </si>
  <si>
    <t>Desierto</t>
  </si>
  <si>
    <t>Wüste</t>
  </si>
  <si>
    <t>Deserto</t>
  </si>
  <si>
    <t>Deterioration</t>
  </si>
  <si>
    <t>Déterioration</t>
  </si>
  <si>
    <t>Deterioro</t>
  </si>
  <si>
    <t>Verschlechterung</t>
  </si>
  <si>
    <t>Deterioramento</t>
  </si>
  <si>
    <t>Developed</t>
  </si>
  <si>
    <t>Civilisé</t>
  </si>
  <si>
    <t>Desarrollado</t>
  </si>
  <si>
    <t>Entwickelt</t>
  </si>
  <si>
    <t>Sviluppato</t>
  </si>
  <si>
    <t>developed</t>
  </si>
  <si>
    <t>Développée</t>
  </si>
  <si>
    <t>sviluppato</t>
  </si>
  <si>
    <t>Drilled</t>
  </si>
  <si>
    <t>Entrainé</t>
  </si>
  <si>
    <t>Disciplinado</t>
  </si>
  <si>
    <t>Ausgebildet</t>
  </si>
  <si>
    <t>Addestrati</t>
  </si>
  <si>
    <t>Elite</t>
  </si>
  <si>
    <t>Élite</t>
  </si>
  <si>
    <t>E-Mail</t>
  </si>
  <si>
    <t>E-mail</t>
  </si>
  <si>
    <t>Firearm</t>
  </si>
  <si>
    <t>Arme à feu</t>
  </si>
  <si>
    <t>Armas de fuego</t>
  </si>
  <si>
    <t>Feuerwaffe</t>
  </si>
  <si>
    <t>Arma da fuoco</t>
  </si>
  <si>
    <t>Field Fortification Total</t>
  </si>
  <si>
    <t>Nombre de fortfication de champ</t>
  </si>
  <si>
    <t>Numeroso fortfication de campo</t>
  </si>
  <si>
    <t>Gesamtzahl Feldbefestigungen</t>
  </si>
  <si>
    <t>Totale fortificazioni campali</t>
  </si>
  <si>
    <t>Fortified Camp</t>
  </si>
  <si>
    <t>Camp fortifié</t>
  </si>
  <si>
    <t>Campo Consolidado</t>
  </si>
  <si>
    <t>Befestigtes Lager</t>
  </si>
  <si>
    <t xml:space="preserve">Campo fortificato </t>
  </si>
  <si>
    <t>Game Information</t>
  </si>
  <si>
    <t>Information de jeu</t>
  </si>
  <si>
    <t>Información de juego</t>
  </si>
  <si>
    <t>Spielinformation</t>
  </si>
  <si>
    <t>Informazioni sulla partita</t>
  </si>
  <si>
    <t>General</t>
  </si>
  <si>
    <t xml:space="preserve">Général </t>
  </si>
  <si>
    <t xml:space="preserve">General </t>
  </si>
  <si>
    <t>Generale</t>
  </si>
  <si>
    <t>Heavily Armoured</t>
  </si>
  <si>
    <t>Armure lourde</t>
  </si>
  <si>
    <t>Fuertemente acorazado</t>
  </si>
  <si>
    <t>Schwer Gepanzert</t>
  </si>
  <si>
    <t>Completamente corazzati</t>
  </si>
  <si>
    <t>Heavy Artillery</t>
  </si>
  <si>
    <t>Artillerie lourde</t>
  </si>
  <si>
    <t>Artillería pesada</t>
  </si>
  <si>
    <t>Schwere Artillerie</t>
  </si>
  <si>
    <t>Artiglieria pesante</t>
  </si>
  <si>
    <t>Heavy Weapon</t>
  </si>
  <si>
    <t>Arme lourde</t>
  </si>
  <si>
    <t>Arma pesada</t>
  </si>
  <si>
    <t>Schwere Waffe</t>
  </si>
  <si>
    <t>Armi pesanti</t>
  </si>
  <si>
    <t>Hilly</t>
  </si>
  <si>
    <t>Collines</t>
  </si>
  <si>
    <t>Colinas</t>
  </si>
  <si>
    <t>Hügelig</t>
  </si>
  <si>
    <t>Collinare</t>
  </si>
  <si>
    <t>Impact Foot</t>
  </si>
  <si>
    <t>Infanterie d'impact</t>
  </si>
  <si>
    <t>Infantes de asalto</t>
  </si>
  <si>
    <t>Stoßtruppen</t>
  </si>
  <si>
    <t>Fanteria da impatto</t>
  </si>
  <si>
    <t>Impact Foot Skilled Swordsmen</t>
  </si>
  <si>
    <t>Infanterie d'impact Expert à l'Epée</t>
  </si>
  <si>
    <t>Infantes de asalto Espadas excelentes</t>
  </si>
  <si>
    <t>Stoßtruppen überl. Schwertkämpfer</t>
  </si>
  <si>
    <t>Fanteria da impatto Spadaccini abili</t>
  </si>
  <si>
    <t>Impact Foot Swordsmen</t>
  </si>
  <si>
    <t>Infanterie d'impact Epée</t>
  </si>
  <si>
    <t>Infantes de asalto Espadas</t>
  </si>
  <si>
    <t>Stoßtruppen Schwertkämpfer</t>
  </si>
  <si>
    <t>Fanteria da impatto Spadaccini</t>
  </si>
  <si>
    <t>Impact POA</t>
  </si>
  <si>
    <t>POA de impacto</t>
  </si>
  <si>
    <t>Angriffs VP</t>
  </si>
  <si>
    <t>POA da impatto</t>
  </si>
  <si>
    <t>IMPORTANT: DON'T TOUCH AT THE COLOURED CELL</t>
  </si>
  <si>
    <t>IMPORTANT: NE PAS TOUCHER AUX CELLULES COLORES</t>
  </si>
  <si>
    <t>Achtung: Bitte nichts in die eingefärbten Zellen schreiben.</t>
  </si>
  <si>
    <t>Importante: non toccare le cello colorate</t>
  </si>
  <si>
    <t>Javelins</t>
  </si>
  <si>
    <t>Javelot</t>
  </si>
  <si>
    <t>Jabalinas</t>
  </si>
  <si>
    <t>Wurfspeer</t>
  </si>
  <si>
    <t>Giavellotti</t>
  </si>
  <si>
    <t>Lancer</t>
  </si>
  <si>
    <t xml:space="preserve">Lance  </t>
  </si>
  <si>
    <t>Lanceros</t>
  </si>
  <si>
    <t>Lanzen</t>
  </si>
  <si>
    <t>Lancieri</t>
  </si>
  <si>
    <t>Lancer Swordsmen</t>
  </si>
  <si>
    <t>Lance Epée</t>
  </si>
  <si>
    <t>Lanceros Espadas</t>
  </si>
  <si>
    <t>Lanzen Schwertkämpfer</t>
  </si>
  <si>
    <t>Lancieri spadaccini</t>
  </si>
  <si>
    <t>Language Option</t>
  </si>
  <si>
    <t>Option de Langue</t>
  </si>
  <si>
    <t>Opcion de Lengua</t>
  </si>
  <si>
    <t>Sprachoption</t>
  </si>
  <si>
    <t>Opzione di lingua</t>
  </si>
  <si>
    <t>Light Artillery</t>
  </si>
  <si>
    <t>Artillerie légère</t>
  </si>
  <si>
    <t>Artillería ligera</t>
  </si>
  <si>
    <t>Leichte Artillerie</t>
  </si>
  <si>
    <t>Artiglieria leggera</t>
  </si>
  <si>
    <t>Light Spear</t>
  </si>
  <si>
    <t>Lance légère</t>
  </si>
  <si>
    <t>Lanza ligera</t>
  </si>
  <si>
    <t>Leichter Speer</t>
  </si>
  <si>
    <t>Lance leggere</t>
  </si>
  <si>
    <t>Light Spear Skilled Swordsmen</t>
  </si>
  <si>
    <t>Lance légère Expert à l'Epée</t>
  </si>
  <si>
    <t>Lanza ligera Espadas excelentes</t>
  </si>
  <si>
    <t>leichter Speer überl. Schwertkämpfer</t>
  </si>
  <si>
    <t>Lance leggere Spadaccini abili</t>
  </si>
  <si>
    <t>Light spear Swordsmen</t>
  </si>
  <si>
    <t>Lance légère Epée</t>
  </si>
  <si>
    <t>Lanza ligera Espadas</t>
  </si>
  <si>
    <t>Leichter Speer Schwertkämpfer</t>
  </si>
  <si>
    <t>Lance leggere Spadaccini</t>
  </si>
  <si>
    <t>List Name</t>
  </si>
  <si>
    <t>Nom de la liste</t>
  </si>
  <si>
    <t>Nombre de la lista</t>
  </si>
  <si>
    <t>Name der Liste:</t>
  </si>
  <si>
    <t>Nome della lista</t>
  </si>
  <si>
    <t>List Number</t>
  </si>
  <si>
    <t>N° liste</t>
  </si>
  <si>
    <t>Nº lista</t>
  </si>
  <si>
    <t>Listennummer</t>
  </si>
  <si>
    <t>Numero della lista</t>
  </si>
  <si>
    <t>Longbow</t>
  </si>
  <si>
    <t>Arc long</t>
  </si>
  <si>
    <t>Arco largo</t>
  </si>
  <si>
    <t>Langbogen</t>
  </si>
  <si>
    <t>Arco lungo</t>
  </si>
  <si>
    <t>Mountain</t>
  </si>
  <si>
    <t>Montagnes</t>
  </si>
  <si>
    <t>Montañas</t>
  </si>
  <si>
    <t>Berg</t>
  </si>
  <si>
    <t>Montagnoso</t>
  </si>
  <si>
    <t>Name and Surname</t>
  </si>
  <si>
    <t>Nom et Prénom</t>
  </si>
  <si>
    <t>Nombre y Apellido</t>
  </si>
  <si>
    <t>Name und Vornamen</t>
  </si>
  <si>
    <t>Nome e cognome</t>
  </si>
  <si>
    <t>Nationality</t>
  </si>
  <si>
    <t>Nationalité</t>
  </si>
  <si>
    <t>Nacionalidad</t>
  </si>
  <si>
    <t>Nationalität</t>
  </si>
  <si>
    <t>Nazionalità</t>
  </si>
  <si>
    <t>No</t>
  </si>
  <si>
    <t xml:space="preserve">Non  </t>
  </si>
  <si>
    <t>Nein</t>
  </si>
  <si>
    <t>Number</t>
  </si>
  <si>
    <t>Quantité</t>
  </si>
  <si>
    <t>Cantidad</t>
  </si>
  <si>
    <t>Anzahl</t>
  </si>
  <si>
    <t>Numero</t>
  </si>
  <si>
    <t>Number of Bases</t>
  </si>
  <si>
    <t>Nombre de Base</t>
  </si>
  <si>
    <t>Número de bases</t>
  </si>
  <si>
    <t>Anzahl der Basen</t>
  </si>
  <si>
    <t>Numero di basi</t>
  </si>
  <si>
    <t>Number of BG</t>
  </si>
  <si>
    <t>Nombre de BG</t>
  </si>
  <si>
    <t>Número de BG</t>
  </si>
  <si>
    <t>Anzahl der KV</t>
  </si>
  <si>
    <t>Numero dei BG</t>
  </si>
  <si>
    <t>Offensive Spearmen</t>
  </si>
  <si>
    <t>Lancier offensif</t>
  </si>
  <si>
    <t>Lanceros ofensivos</t>
  </si>
  <si>
    <t>Offensiver Speerträger</t>
  </si>
  <si>
    <t xml:space="preserve">Lance offensiva </t>
  </si>
  <si>
    <t>Order of Book</t>
  </si>
  <si>
    <t>Ordre du livre</t>
  </si>
  <si>
    <t>Orden del libro</t>
  </si>
  <si>
    <t>Buchreihenfolge</t>
  </si>
  <si>
    <t>Ordine del libro</t>
  </si>
  <si>
    <t>Order of March</t>
  </si>
  <si>
    <t>Ordre de marche</t>
  </si>
  <si>
    <t>Orden de marcha</t>
  </si>
  <si>
    <t>Marschordnung</t>
  </si>
  <si>
    <t>Ordine di marcia</t>
  </si>
  <si>
    <t>Other</t>
  </si>
  <si>
    <t>Autre</t>
  </si>
  <si>
    <t>Otros</t>
  </si>
  <si>
    <t>Andere</t>
  </si>
  <si>
    <t>Altro</t>
  </si>
  <si>
    <t>Page Number</t>
  </si>
  <si>
    <t>N° page</t>
  </si>
  <si>
    <t>Nº página</t>
  </si>
  <si>
    <t>Seitennummer</t>
  </si>
  <si>
    <t>Numero pagina</t>
  </si>
  <si>
    <t>Personnal Information</t>
  </si>
  <si>
    <t>Information personnelle</t>
  </si>
  <si>
    <t>Información personal</t>
  </si>
  <si>
    <t>Persönliche Informationen</t>
  </si>
  <si>
    <t>Informazioni personali</t>
  </si>
  <si>
    <t>Pikemen</t>
  </si>
  <si>
    <t>Pique</t>
  </si>
  <si>
    <t>Piqueros</t>
  </si>
  <si>
    <t>Piken</t>
  </si>
  <si>
    <t>Picche</t>
  </si>
  <si>
    <t>Point per Base</t>
  </si>
  <si>
    <t>Point/ Base</t>
  </si>
  <si>
    <t>Puntos por base</t>
  </si>
  <si>
    <t>Punkte pro Base</t>
  </si>
  <si>
    <t>Punti per base</t>
  </si>
  <si>
    <t>Poor</t>
  </si>
  <si>
    <t>Faible</t>
  </si>
  <si>
    <t>Pobre</t>
  </si>
  <si>
    <t>Unterdurchschnittlich</t>
  </si>
  <si>
    <t>Scadenti</t>
  </si>
  <si>
    <t>Port Def.</t>
  </si>
  <si>
    <t>Obstacle port.</t>
  </si>
  <si>
    <t>Def. Port.</t>
  </si>
  <si>
    <t>Tragbare Hindernisse</t>
  </si>
  <si>
    <t>Ost. Mobili</t>
  </si>
  <si>
    <t>Pre Battle Initiative Modifier</t>
  </si>
  <si>
    <t>Modificateur d'initiative</t>
  </si>
  <si>
    <t>Modificador de iniciativa</t>
  </si>
  <si>
    <t>Initiativmodifikator</t>
  </si>
  <si>
    <t>Modificatore pre battaglia</t>
  </si>
  <si>
    <t>Protected</t>
  </si>
  <si>
    <t>Protection</t>
  </si>
  <si>
    <t>Protegido</t>
  </si>
  <si>
    <t>Geschützt</t>
  </si>
  <si>
    <t>Protetta</t>
  </si>
  <si>
    <t>Quality</t>
  </si>
  <si>
    <t>Qualité</t>
  </si>
  <si>
    <t>Calidad</t>
  </si>
  <si>
    <t>Qualität</t>
  </si>
  <si>
    <t>Qualità</t>
  </si>
  <si>
    <t xml:space="preserve">Shooting </t>
  </si>
  <si>
    <t xml:space="preserve">Tir </t>
  </si>
  <si>
    <t xml:space="preserve"> Tiro</t>
  </si>
  <si>
    <t xml:space="preserve">Fernkampf </t>
  </si>
  <si>
    <t>Tiro</t>
  </si>
  <si>
    <t>Skilled Swordsmen</t>
  </si>
  <si>
    <t>Expert à l'Epée</t>
  </si>
  <si>
    <t>Espadas excelentes</t>
  </si>
  <si>
    <t>Überlegene Schwertkämpfer</t>
  </si>
  <si>
    <t>Spadaccini abili</t>
  </si>
  <si>
    <t>Sling</t>
  </si>
  <si>
    <t>Fronde</t>
  </si>
  <si>
    <t>Honda</t>
  </si>
  <si>
    <t>Schleuder</t>
  </si>
  <si>
    <t>Fionde</t>
  </si>
  <si>
    <t>Spearmen</t>
  </si>
  <si>
    <t>Lancier</t>
  </si>
  <si>
    <t>Lanceros a pie</t>
  </si>
  <si>
    <t>Speerträger</t>
  </si>
  <si>
    <t>Lance</t>
  </si>
  <si>
    <t>Special</t>
  </si>
  <si>
    <t>Spécial</t>
  </si>
  <si>
    <t>Especial</t>
  </si>
  <si>
    <t>Besonderheit</t>
  </si>
  <si>
    <t>Speciale</t>
  </si>
  <si>
    <t>Steppe</t>
  </si>
  <si>
    <t>Steppes</t>
  </si>
  <si>
    <t>Estepa</t>
  </si>
  <si>
    <t>Steppa</t>
  </si>
  <si>
    <t>Superior</t>
  </si>
  <si>
    <t>Supérieur</t>
  </si>
  <si>
    <t>Überdurchschnittlich</t>
  </si>
  <si>
    <t>Superiore</t>
  </si>
  <si>
    <t>Swordsmen</t>
  </si>
  <si>
    <t>Epée</t>
  </si>
  <si>
    <t>Espadas</t>
  </si>
  <si>
    <t>Schwertkämpfer</t>
  </si>
  <si>
    <t>Spadaccini</t>
  </si>
  <si>
    <t>Tel Number</t>
  </si>
  <si>
    <t>Tel</t>
  </si>
  <si>
    <t>Tél</t>
  </si>
  <si>
    <t>Tel.</t>
  </si>
  <si>
    <t>Numero di telefono</t>
  </si>
  <si>
    <t>Territory Types</t>
  </si>
  <si>
    <t>Régions possibles</t>
  </si>
  <si>
    <t>Tipos de terreno</t>
  </si>
  <si>
    <t>Geländetypen</t>
  </si>
  <si>
    <t>Tipo di territorio</t>
  </si>
  <si>
    <t>Player Information</t>
  </si>
  <si>
    <t>Information Sur le joueur</t>
  </si>
  <si>
    <t>Información sobre el jugador</t>
  </si>
  <si>
    <t>Spielerinformationen</t>
  </si>
  <si>
    <t>Informazione sul giocatore</t>
  </si>
  <si>
    <t>Tournament:</t>
  </si>
  <si>
    <t>Compétition:</t>
  </si>
  <si>
    <t>Torneo:</t>
  </si>
  <si>
    <t>Turnier</t>
  </si>
  <si>
    <t>Torneo</t>
  </si>
  <si>
    <t>Training</t>
  </si>
  <si>
    <t>Entraînement</t>
  </si>
  <si>
    <t>Disciplina</t>
  </si>
  <si>
    <t>Ausbildung</t>
  </si>
  <si>
    <t>Addestramento</t>
  </si>
  <si>
    <t>Troop Type</t>
  </si>
  <si>
    <t>Type des troupes</t>
  </si>
  <si>
    <t>Tipo de las tropas</t>
  </si>
  <si>
    <t>Truppentyp</t>
  </si>
  <si>
    <t>Tipo di truppa</t>
  </si>
  <si>
    <t>Troop Name</t>
  </si>
  <si>
    <t>Nom des Troupes</t>
  </si>
  <si>
    <t>Tropas</t>
  </si>
  <si>
    <t>Truppen</t>
  </si>
  <si>
    <t>Nome di truppa</t>
  </si>
  <si>
    <t>Tropical</t>
  </si>
  <si>
    <t>Tropisch</t>
  </si>
  <si>
    <t>Tropicale</t>
  </si>
  <si>
    <t>Type</t>
  </si>
  <si>
    <t>Tipo</t>
  </si>
  <si>
    <t>Typ</t>
  </si>
  <si>
    <t>Undrilled</t>
  </si>
  <si>
    <t>Non entrainé</t>
  </si>
  <si>
    <t>Indisciplinado</t>
  </si>
  <si>
    <t>Unausgebildet</t>
  </si>
  <si>
    <t>Non addestrati</t>
  </si>
  <si>
    <t>Unprotected</t>
  </si>
  <si>
    <t>Sans Protection</t>
  </si>
  <si>
    <t>Desprotegido</t>
  </si>
  <si>
    <t>Ungeschützt</t>
  </si>
  <si>
    <t>Non protetti</t>
  </si>
  <si>
    <t>Value</t>
  </si>
  <si>
    <t>Valeur</t>
  </si>
  <si>
    <t xml:space="preserve">Valor   </t>
  </si>
  <si>
    <t>Wert</t>
  </si>
  <si>
    <t>Valore</t>
  </si>
  <si>
    <t>Woodland</t>
  </si>
  <si>
    <t>Forêts</t>
  </si>
  <si>
    <t>Boscoso</t>
  </si>
  <si>
    <t>Wald</t>
  </si>
  <si>
    <t>Boschivo</t>
  </si>
  <si>
    <t>Yes</t>
  </si>
  <si>
    <t>Oui</t>
  </si>
  <si>
    <t>Si</t>
  </si>
  <si>
    <t>Ja</t>
  </si>
  <si>
    <t>Office</t>
  </si>
  <si>
    <t>Fonction</t>
  </si>
  <si>
    <t>Funcion</t>
  </si>
  <si>
    <t>Funktion</t>
  </si>
  <si>
    <t>Ufficio</t>
  </si>
  <si>
    <t>Camelry; Port. Def.</t>
  </si>
  <si>
    <t>Chamelerie; Obs. Portés</t>
  </si>
  <si>
    <t>Camellería; Def. Port</t>
  </si>
  <si>
    <t>Kamelreiter; tragb. Hindern.</t>
  </si>
  <si>
    <t>Cammelli; Ost. mobili</t>
  </si>
  <si>
    <t>Alan Cutner</t>
  </si>
  <si>
    <t>Rise of Rome</t>
  </si>
  <si>
    <t>GDWS</t>
  </si>
  <si>
    <t>alan.cutner@gmail.com</t>
  </si>
  <si>
    <t>--------</t>
  </si>
  <si>
    <t>4=VLOOKUP("Tel number";Zone_Traduction;ref_langue;FALSE())</t>
  </si>
  <si>
    <t>07914 639383</t>
  </si>
  <si>
    <t>Armenian</t>
  </si>
  <si>
    <t>Army List</t>
  </si>
  <si>
    <t>TOTAL</t>
  </si>
  <si>
    <t xml:space="preserve">Field </t>
  </si>
  <si>
    <t xml:space="preserve">Troop </t>
  </si>
  <si>
    <t>-</t>
  </si>
  <si>
    <t>Ally</t>
  </si>
  <si>
    <t>25%</t>
  </si>
  <si>
    <t>Horse Archers</t>
  </si>
  <si>
    <t>LH</t>
  </si>
  <si>
    <t>Cataphracts</t>
  </si>
  <si>
    <t>Ct</t>
  </si>
  <si>
    <t>Armenian Horse Archers</t>
  </si>
  <si>
    <t>Armenian Cataphracts</t>
  </si>
  <si>
    <t>Zone de Traduction</t>
  </si>
  <si>
    <t>Melée</t>
  </si>
  <si>
    <t>Langue</t>
  </si>
  <si>
    <t>France</t>
  </si>
  <si>
    <t>*</t>
  </si>
  <si>
    <t>Foot</t>
  </si>
  <si>
    <t>tirs</t>
  </si>
  <si>
    <t>Blood and Gold</t>
  </si>
  <si>
    <t>Decline and Fall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</si>
  <si>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</si>
  <si>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</si>
  <si>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</si>
  <si>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</si>
  <si>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</si>
  <si>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</si>
  <si>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</si>
  <si>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</si>
  <si>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</si>
  <si>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</si>
  <si>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</si>
  <si>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Arab Conquest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</si>
  <si>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</si>
  <si>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</si>
  <si>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</si>
  <si>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</si>
  <si>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</si>
  <si>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</si>
  <si>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</si>
  <si>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</si>
  <si>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</si>
  <si>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</si>
  <si>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</si>
  <si>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Empires of the Dragon</t>
  </si>
  <si>
    <t>Erlitou-Shang Chinese</t>
  </si>
  <si>
    <t>Early Zhou Chinese</t>
  </si>
  <si>
    <t>Yayoi Japenese</t>
  </si>
  <si>
    <t>Early Horse Nomad</t>
  </si>
  <si>
    <t>Ko Choson Korean</t>
  </si>
  <si>
    <t>Warring States to Western Han Chinese</t>
  </si>
  <si>
    <t>Qiang and Di</t>
  </si>
  <si>
    <t>Three Kingdoms Korean</t>
  </si>
  <si>
    <t>Eastern Han Chinese</t>
  </si>
  <si>
    <t>Three Kingdoms, Wester Jin, and Southern Dynasties Chinese</t>
  </si>
  <si>
    <t>Kofun-Nara Japenese</t>
  </si>
  <si>
    <t>Northern Dynasties Chinese</t>
  </si>
  <si>
    <t>Later Hindu North Indian</t>
  </si>
  <si>
    <t>Later Hindu South Indian</t>
  </si>
  <si>
    <t>Central Asian City-States</t>
  </si>
  <si>
    <t>Western Wei to Early Tang Chinese</t>
  </si>
  <si>
    <t>Later Horse Nomad</t>
  </si>
  <si>
    <t>Tibetan</t>
  </si>
  <si>
    <t>Parhae Korean</t>
  </si>
  <si>
    <t>Late Tang to Five dynasties Chinese</t>
  </si>
  <si>
    <t>Khmer or Champa</t>
  </si>
  <si>
    <t>Nanzhao</t>
  </si>
  <si>
    <t>Koryo Korean</t>
  </si>
  <si>
    <t>Early Heian Japanese</t>
  </si>
  <si>
    <t>Pagan Burmese</t>
  </si>
  <si>
    <t>Liao</t>
  </si>
  <si>
    <t>Song Chinese</t>
  </si>
  <si>
    <t>Xi Xia</t>
  </si>
  <si>
    <t>Ghurid Afghan</t>
  </si>
  <si>
    <t>Jin</t>
  </si>
  <si>
    <t>Late Heian to Muromochi Japanese</t>
  </si>
  <si>
    <t>Mongol Conquest</t>
  </si>
  <si>
    <t>Muslim Indian Sultanates</t>
  </si>
  <si>
    <t>Medieval Indonesian or Malay</t>
  </si>
  <si>
    <t>Yuan Chinese</t>
  </si>
  <si>
    <t>Medieval Burmese</t>
  </si>
  <si>
    <t>Ming Chinese</t>
  </si>
  <si>
    <t>Yi Korean</t>
  </si>
  <si>
    <t>Eternal Empire</t>
  </si>
  <si>
    <t xml:space="preserve"> 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</si>
  <si>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</si>
  <si>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</si>
  <si>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</si>
  <si>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</si>
  <si>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</si>
  <si>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</si>
  <si>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</si>
  <si>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</si>
  <si>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</si>
  <si>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</si>
  <si>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</si>
  <si>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</si>
  <si>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</si>
  <si>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</si>
  <si>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</si>
  <si>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</si>
  <si>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</si>
  <si>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Immortal Fire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</si>
  <si>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</si>
  <si>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</si>
  <si>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</si>
  <si>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</si>
  <si>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</si>
  <si>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</si>
  <si>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</si>
  <si>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</si>
  <si>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</si>
  <si>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</si>
  <si>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</si>
  <si>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</si>
  <si>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</si>
  <si>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</si>
  <si>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</si>
  <si>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</si>
  <si>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</si>
  <si>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</si>
  <si>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Legions Triumphant</t>
  </si>
  <si>
    <t>Principate Roman</t>
  </si>
  <si>
    <t>Dominate Roman</t>
  </si>
  <si>
    <t>Foederate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</si>
  <si>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</si>
  <si>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</si>
  <si>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</si>
  <si>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</si>
  <si>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</si>
  <si>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</si>
  <si>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</si>
  <si>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</si>
  <si>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</si>
  <si>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</si>
  <si>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</si>
  <si>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</si>
  <si>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</si>
  <si>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</si>
  <si>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</si>
  <si>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</si>
  <si>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</si>
  <si>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</si>
  <si>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</si>
  <si>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>Lost Scroll</t>
  </si>
  <si>
    <t>Oath of fealty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</si>
  <si>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</si>
  <si>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</si>
  <si>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</si>
  <si>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</si>
  <si>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</si>
  <si>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</si>
  <si>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</si>
  <si>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</si>
  <si>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</si>
  <si>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</si>
  <si>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</si>
  <si>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</si>
  <si>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</si>
  <si>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</si>
  <si>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</si>
  <si>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</si>
  <si>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</si>
  <si>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</si>
  <si>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</si>
  <si>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</si>
  <si>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</si>
  <si>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</si>
  <si>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</si>
  <si>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</si>
  <si>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</si>
  <si>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</si>
  <si>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</si>
  <si>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</si>
  <si>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</si>
  <si>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</si>
  <si>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</si>
  <si>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</si>
  <si>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</si>
  <si>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</si>
  <si>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</si>
  <si>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</si>
  <si>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</si>
  <si>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</si>
  <si>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</si>
  <si>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</si>
  <si>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</si>
  <si>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</si>
  <si>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</si>
  <si>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</si>
  <si>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</si>
  <si>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</si>
  <si>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</si>
  <si>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</si>
  <si>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nombre d'eclaireur</t>
  </si>
  <si>
    <t>Storm of Arrows</t>
  </si>
  <si>
    <t>Hundred Years' War English ( continental)</t>
  </si>
  <si>
    <t>Hundred Years' War English ( Britain)</t>
  </si>
  <si>
    <t>War of the Roses English</t>
  </si>
  <si>
    <t>Medieval Welsh</t>
  </si>
  <si>
    <t>Later Medieval Scots (Britain)</t>
  </si>
  <si>
    <t>Later Medieval Scots (Continental)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</si>
  <si>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</si>
  <si>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</si>
  <si>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</si>
  <si>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</si>
  <si>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</si>
  <si>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</si>
  <si>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</si>
  <si>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</si>
  <si>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</si>
  <si>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</si>
  <si>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</si>
  <si>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</si>
  <si>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</si>
  <si>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</si>
  <si>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</si>
  <si>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</si>
  <si>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</si>
  <si>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</si>
  <si>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</si>
  <si>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</si>
  <si>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Swifter Than Eagles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</si>
  <si>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</si>
  <si>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</si>
  <si>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</si>
  <si>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</si>
  <si>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</si>
  <si>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</si>
  <si>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</si>
  <si>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</si>
  <si>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</si>
  <si>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</si>
  <si>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</si>
  <si>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</si>
  <si>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</si>
  <si>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</si>
  <si>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</si>
  <si>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</si>
  <si>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</si>
  <si>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</si>
  <si>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</si>
  <si>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</si>
  <si>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</si>
  <si>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</si>
  <si>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</si>
  <si>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</si>
  <si>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Swords and Scimitars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</si>
  <si>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</si>
  <si>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</si>
  <si>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</si>
  <si>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</si>
  <si>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</si>
  <si>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</si>
  <si>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</si>
  <si>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</si>
  <si>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</si>
  <si>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</si>
  <si>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</si>
  <si>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</si>
  <si>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</si>
  <si>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</si>
  <si>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</si>
  <si>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Latin Greece</t>
  </si>
  <si>
    <t>Ilkhanid Mongol</t>
  </si>
  <si>
    <t>Mamluk Egyptian</t>
  </si>
  <si>
    <t>Wolves From The Seas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</si>
  <si>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</si>
  <si>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</si>
  <si>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</si>
  <si>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</si>
  <si>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</si>
  <si>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</si>
  <si>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</si>
  <si>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</si>
  <si>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</si>
  <si>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</si>
  <si>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</si>
  <si>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</si>
  <si>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</si>
  <si>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</si>
  <si>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</si>
  <si>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</si>
  <si>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</si>
  <si>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</si>
  <si>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</si>
  <si>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</si>
  <si>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</si>
  <si>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</si>
  <si>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Kn</t>
  </si>
  <si>
    <t>ordre de marche</t>
  </si>
  <si>
    <t>CT</t>
  </si>
  <si>
    <t>Ct -</t>
  </si>
  <si>
    <t>0-0-0-0</t>
  </si>
  <si>
    <t>Cv</t>
  </si>
  <si>
    <t>impact</t>
  </si>
  <si>
    <t>1-0-0-0</t>
  </si>
  <si>
    <t>1-1-0-0</t>
  </si>
  <si>
    <t>1-1-1-0</t>
  </si>
  <si>
    <t>1-1-1-1</t>
  </si>
  <si>
    <t>2-1-1-1</t>
  </si>
  <si>
    <t>2-2-1-1</t>
  </si>
  <si>
    <t>CHA</t>
  </si>
  <si>
    <t>HCh -</t>
  </si>
  <si>
    <t>2-2-2-1</t>
  </si>
  <si>
    <t>LCh -</t>
  </si>
  <si>
    <t>2-2-2-2</t>
  </si>
  <si>
    <t>SCH -</t>
  </si>
  <si>
    <t>3-2-2-2</t>
  </si>
  <si>
    <t>EL</t>
  </si>
  <si>
    <t>EL -</t>
  </si>
  <si>
    <t>3-3-2-2</t>
  </si>
  <si>
    <t>HART</t>
  </si>
  <si>
    <t>HArt -</t>
  </si>
  <si>
    <t>3-3-3-2</t>
  </si>
  <si>
    <t>LART</t>
  </si>
  <si>
    <t>LArt -</t>
  </si>
  <si>
    <t>3-3-3-3</t>
  </si>
  <si>
    <t>BWG</t>
  </si>
  <si>
    <t>BWG -</t>
  </si>
  <si>
    <t>4-3-3-3</t>
  </si>
  <si>
    <t>4-4-3-3</t>
  </si>
  <si>
    <t>- -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</si>
  <si>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</si>
  <si>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</si>
  <si>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</si>
  <si>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</si>
  <si>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</si>
  <si>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</si>
  <si>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</si>
  <si>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</si>
  <si>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</si>
  <si>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6-6-6-6</t>
  </si>
  <si>
    <t>table_general</t>
  </si>
  <si>
    <t>7-6-6-6</t>
  </si>
  <si>
    <t>7-7-6-6</t>
  </si>
  <si>
    <t>7-7-7-6</t>
  </si>
  <si>
    <t xml:space="preserve"> Inspired </t>
  </si>
  <si>
    <t>7-7-7-7</t>
  </si>
  <si>
    <t>BG Number</t>
  </si>
  <si>
    <t>attrition table</t>
  </si>
  <si>
    <t>8-7-7-7</t>
  </si>
  <si>
    <t>8-8-7-7</t>
  </si>
  <si>
    <t>8-8-8-7</t>
  </si>
  <si>
    <t>PBI</t>
  </si>
  <si>
    <t>8-8-8-8</t>
  </si>
  <si>
    <t>9-8-8-8</t>
  </si>
  <si>
    <t>9-9-8-8</t>
  </si>
  <si>
    <t>9-9-9-8</t>
  </si>
  <si>
    <t>9-9-9-9</t>
  </si>
  <si>
    <t>LF</t>
  </si>
  <si>
    <t xml:space="preserve">Sub </t>
  </si>
  <si>
    <t>MF</t>
  </si>
  <si>
    <t>HF</t>
  </si>
  <si>
    <t>Mob</t>
  </si>
  <si>
    <t>CV</t>
  </si>
  <si>
    <t>KN</t>
  </si>
  <si>
    <t>LCh</t>
  </si>
  <si>
    <t>HCh</t>
  </si>
  <si>
    <t>SCh</t>
  </si>
  <si>
    <t>Lart</t>
  </si>
  <si>
    <t>Hart</t>
  </si>
  <si>
    <t>n</t>
  </si>
  <si>
    <t>English - Support</t>
  </si>
  <si>
    <t>Support Website</t>
  </si>
  <si>
    <t>Visit Nicolas's website and Field of Glory website to download the latest version of the ArmyListGenerator and examples of how to use it.</t>
  </si>
  <si>
    <t xml:space="preserve"> http://www.fieldofglory.fr/spip.php?article2</t>
  </si>
  <si>
    <t>www.fieldofglory.com</t>
  </si>
  <si>
    <t>Mixed Battle Groups</t>
  </si>
  <si>
    <t>Register mixed Battle Groups (standard troops plus supporting archers) by inserting the same number in the Order of March</t>
  </si>
  <si>
    <t>Example below is a single BG of Heavy foot and supporting archers</t>
  </si>
  <si>
    <t>Troop type</t>
  </si>
  <si>
    <t>Shooting</t>
  </si>
  <si>
    <t>Number of bases</t>
  </si>
  <si>
    <t>Point per base</t>
  </si>
  <si>
    <t>BG value</t>
  </si>
  <si>
    <t>Heavy Foot</t>
  </si>
  <si>
    <t>Archers</t>
  </si>
  <si>
    <t>Reserved Cells</t>
  </si>
  <si>
    <t xml:space="preserve">Do not enter values into cells with yellow backgrounds. </t>
  </si>
  <si>
    <t>These are reserved cells that contain formulas which automatically generate values depending on data you enter in other cells.</t>
  </si>
  <si>
    <t>Select the required language from the "Language Option" cell.</t>
  </si>
  <si>
    <t>This will change all the headers to the required lanuage.</t>
  </si>
  <si>
    <t xml:space="preserve">Note that the language should be set before you try and enter values into any cells. Changing the language on a sheet with existing values already entered into cells will result in a calculation error ("#N/A" ) appearing in some cells.   </t>
  </si>
  <si>
    <t>Français - Support</t>
  </si>
  <si>
    <t>Site de support</t>
  </si>
  <si>
    <t>Rendez vous sur le site de Nicolas afin de telecharger la derniere version du calculateur et de trouver des exemples de son utilisation.</t>
  </si>
  <si>
    <t>Goupe de Bataille Mixte</t>
  </si>
  <si>
    <t>Il faut enregistrer le Groupe de bataille mixte avec le même ordre de marche</t>
  </si>
  <si>
    <t>L'exemple ci-dessous vous montre le procédé avec un Groupe d'infanterie lourde supporté par des archers.</t>
  </si>
  <si>
    <t>Infanterie Lourde</t>
  </si>
  <si>
    <t>Cellules protégées</t>
  </si>
  <si>
    <t xml:space="preserve">N'entrez aucuner valeur dans les cellules de couleur. </t>
  </si>
  <si>
    <t>Elles contiennent toutes des formules necessaires à l'execution des differents calculs ou à leur conversion en differentes langues</t>
  </si>
  <si>
    <t>Option de langue</t>
  </si>
  <si>
    <t>Elle doit etre choisie à la création de la liste en indiquant son choix dans la cellule option de langage.</t>
  </si>
  <si>
    <t>Cela change tous les en tête et les menus deroulant dans la langue choisie</t>
  </si>
  <si>
    <t>Le changement ne peut etre fait pendant la création car il génere des erreurs dans toutes les cellules de calculs ayant une désignation non numerique.</t>
  </si>
  <si>
    <t>Español - Soporte</t>
  </si>
  <si>
    <t>Lugar de soporte</t>
  </si>
  <si>
    <t>Se puede descargar la ultima versión de la hoja en la web de Nicolas y ver ejemplos de como se utiliza</t>
  </si>
  <si>
    <t>BGs mixtos</t>
  </si>
  <si>
    <t>En el orden de marcha hay que poner el mismo numero para ambas lineas del BG mixto</t>
  </si>
  <si>
    <t>A continuación un ejemplo de un BG de infanteria pesada con apoyo de infanteria ligera</t>
  </si>
  <si>
    <t>Infanteria Pesada</t>
  </si>
  <si>
    <t>Normal</t>
  </si>
  <si>
    <t>Lanzas defensivas</t>
  </si>
  <si>
    <t>Arqueros</t>
  </si>
  <si>
    <t>Celdas protegidas</t>
  </si>
  <si>
    <t>No hay que cambiar nada en las celdas coloridas</t>
  </si>
  <si>
    <t>Contienen todas las formulas necesarias o su conversión en idiomas distintos</t>
  </si>
  <si>
    <t>Opción de idioma</t>
  </si>
  <si>
    <t>Tienen que elegir el idioma al inicio en la celda de selección idiomas</t>
  </si>
  <si>
    <t>Esto cambia todos los encabezados</t>
  </si>
  <si>
    <t>El cambio no puede hacerse mientras se rellena la hoja porque causa errores en la celdas de caluclo</t>
  </si>
  <si>
    <t>Revision</t>
  </si>
  <si>
    <t>Design de la feuille</t>
  </si>
  <si>
    <t>Gros travail de design sur la feuille avec l'apparition des blocs en en tête en collaboration avec Rich Love</t>
  </si>
  <si>
    <t>Fortification de champ</t>
  </si>
  <si>
    <t>Ajout d'une cellule afin de les identifier facilement</t>
  </si>
  <si>
    <t>Disparition de la colonne car non utilisée</t>
  </si>
  <si>
    <t>Colonne special</t>
  </si>
  <si>
    <t>Rebaptisation de la colonne spéciales qui ne contient plus que cela.</t>
  </si>
  <si>
    <t>Graphique</t>
  </si>
  <si>
    <t>Ajout de logo FOG avec l'autorisation de JD Mc Neil</t>
  </si>
  <si>
    <t>Nom de la feuille</t>
  </si>
  <si>
    <t>Nouveau nom de la feuille.</t>
  </si>
  <si>
    <t xml:space="preserve"> Information de tournoi</t>
  </si>
  <si>
    <t>Les informations concernant les tournoi sont regroupés en un seul bandeau. Si elle ne vous servent a rien, masquez les!</t>
  </si>
  <si>
    <t>Une colonne a ete rajouté pour faciliter le travail de verification de liste</t>
  </si>
  <si>
    <t>nom de la feuille</t>
  </si>
  <si>
    <t>Ne pas remplir les cellules colorées, elles contiennent toutes des formules</t>
  </si>
  <si>
    <t>nom des listes</t>
  </si>
  <si>
    <t xml:space="preserve">Pour les joueurs faineants ( comme moi), choisissez votre livret dans le menu deroulant et tapez le n° de page de l'index dans la cellule  correspondante  </t>
  </si>
  <si>
    <t>afin d'indiquer la liste d'armée.</t>
  </si>
  <si>
    <t xml:space="preserve">ex: </t>
  </si>
  <si>
    <t>Battle Groups</t>
  </si>
  <si>
    <t>39 positions disponible pour inscrire les differents BG</t>
  </si>
  <si>
    <t>Le deploiement des BG accepte maintenant jusqu'à 36 BG differents</t>
  </si>
  <si>
    <t>Colonne autobreak</t>
  </si>
  <si>
    <t>Dans la colonne Autobreak, les generaux et le camp fortifié n'ayant pas besoin de cette valeur, leur identité est rappelée.</t>
  </si>
  <si>
    <t>2.3.3</t>
  </si>
  <si>
    <t>Changement charte graphique</t>
  </si>
  <si>
    <t>Correction de détails mineur</t>
  </si>
  <si>
    <t>Back Office</t>
  </si>
  <si>
    <t>rangement de l'arrière cour</t>
  </si>
  <si>
    <t>2.3.2</t>
  </si>
  <si>
    <t>mise des colonnes des types dans l'ordre des listes</t>
  </si>
  <si>
    <t>Correction de Bug</t>
  </si>
  <si>
    <t>Correction du bug des chars à faux</t>
  </si>
  <si>
    <t>2.3.1</t>
  </si>
  <si>
    <t>Total des BG</t>
  </si>
  <si>
    <t>calcul objectif des BG dans l'ordre de marche</t>
  </si>
  <si>
    <t>résolution du problème des BG mixte. L'auto break et les 25% se calculent à l'aide des cellules de l'ordre de marche sur la première ligne du BG mixte.</t>
  </si>
  <si>
    <t>les hordes</t>
  </si>
  <si>
    <t>les "mob" peuvent être "protégé"</t>
  </si>
  <si>
    <t>Attrition</t>
  </si>
  <si>
    <t>le calcul de l'attrition se fait suivant la version officielle de la feuille de score.</t>
  </si>
  <si>
    <t>1.7.2</t>
  </si>
  <si>
    <t xml:space="preserve">Grosse modification de la présentation </t>
  </si>
  <si>
    <t>Option de langage</t>
  </si>
  <si>
    <t>Ajout de la version allemande</t>
  </si>
  <si>
    <t>Ordre de Marche</t>
  </si>
  <si>
    <t>Ajout d'un commentaire pour l'ordre de marche</t>
  </si>
  <si>
    <t>Les "Mb" doivent maintenant inscrire leur armure</t>
  </si>
  <si>
    <t>Abréviations</t>
  </si>
  <si>
    <t xml:space="preserve">Refontes des abréviations pour les rendre identique à la règle </t>
  </si>
  <si>
    <t>Artillerie</t>
  </si>
  <si>
    <t>Introduction des POA "Artillerie lourde" et "artillerie légère"</t>
  </si>
  <si>
    <t>Battle Wagons</t>
  </si>
  <si>
    <t>Les BWG avec artillerie légère doivent inscrire le POA correspondant</t>
  </si>
  <si>
    <t>La réduction pour le général allié se calcule quand la case "spécial" est remplie</t>
  </si>
  <si>
    <t>Competences martiales</t>
  </si>
  <si>
    <t>Correction des bugs pour certaines competences martiales</t>
  </si>
  <si>
    <t>Initiative d'avant Bataille</t>
  </si>
  <si>
    <t>correction de l'initiative pour les montés</t>
  </si>
  <si>
    <t xml:space="preserve">Les éléphants et les chars à faux peuvent, ou pas, inscrire la qualité "moyenne" sans affecter la valeur finale </t>
  </si>
  <si>
    <t>Changement cosmétique en façade et rangement dans l'arrière cour !</t>
  </si>
  <si>
    <t>calcul automatique du déploiement une fois l'ordre de marche rempli</t>
  </si>
  <si>
    <t>calcul automatique de l'initiative ( il faut indiquer dans la colonne "spécial" le CinC)</t>
  </si>
  <si>
    <t xml:space="preserve"> Option de Langue</t>
  </si>
  <si>
    <t>traduction semi automatique des données en français ( la traduction se fait à partir d'une feuille vierge)</t>
  </si>
  <si>
    <t>La nationalité peux être changée ce qui modifie les intitulés en langues nationales (merci à Vincent)</t>
  </si>
  <si>
    <t>Formule</t>
  </si>
  <si>
    <t>Un code est intégré afin d'éclairer en rouge les cellules de formules involontairement modifiées ( merci  encore à Vincent)</t>
  </si>
  <si>
    <t>Troupes</t>
  </si>
  <si>
    <t>Un filtre est intégré sur la colonne troupes afin de nettoyer les lignes inutiles ( il suffit de décocher la case "vides")</t>
  </si>
  <si>
    <t>Les cellules sont débloquées afin de permettre le filtre sur l'ordre de marche</t>
  </si>
  <si>
    <t>Feuilles de calcul</t>
  </si>
  <si>
    <t>les feuilles de données sont masquées pour éviter des erreurs</t>
  </si>
  <si>
    <t>Les Hordes (Mobs) peuvent maintenant avoir une Qualité différente.</t>
  </si>
  <si>
    <t>Inscrire la Qualité n'est plus nécessaire pour les éléphants et les chars à faux  ( il sont toujours "moyen")</t>
  </si>
  <si>
    <t>Elle a maintenant le nom officiel :-)</t>
  </si>
  <si>
    <t>Topic</t>
  </si>
  <si>
    <t>Change Made</t>
  </si>
  <si>
    <t>Spreadsheet Design</t>
  </si>
  <si>
    <t>Major re-design of the presentation adding Player, Army and Game Information sections</t>
  </si>
  <si>
    <t>Added cell to accomadate this functionality</t>
  </si>
  <si>
    <t xml:space="preserve">Order of Book </t>
  </si>
  <si>
    <t>Deleted column and its funtionality as no longer to be used</t>
  </si>
  <si>
    <t>Specials</t>
  </si>
  <si>
    <t>Renamed header to "Camels and Port Def."</t>
  </si>
  <si>
    <t xml:space="preserve">Graphics </t>
  </si>
  <si>
    <t>Added FOG logo</t>
  </si>
  <si>
    <t>File Name</t>
  </si>
  <si>
    <t>Renamed file to "ArmyListGenerator_x.x" (x_x indicating the spreadsheet version)</t>
  </si>
  <si>
    <t>Tournament Information</t>
  </si>
  <si>
    <t>Is gathered in only one stringcourse. (If it are not useful to you , mask them!)</t>
  </si>
  <si>
    <t>A column was added to facilitate the work of List-Checker</t>
  </si>
  <si>
    <t>Do not  fill the coloured cells as all of them contain formulas</t>
  </si>
  <si>
    <t>For the lazy players (like me), choose your booklet in the drop-down menu and type the n° page of the Contents</t>
  </si>
  <si>
    <t>in the corresponding cell in order to indicate the list of army</t>
  </si>
  <si>
    <t>ex:</t>
  </si>
  <si>
    <t>39 positions are now available to register BG's</t>
  </si>
  <si>
    <t>The deployment of the BG now accepts up to 36 different BG</t>
  </si>
  <si>
    <t>Autobreak Column</t>
  </si>
  <si>
    <t>Generals and fortified camp don't need this value, their identity is recalled</t>
  </si>
  <si>
    <t>Change of the charter</t>
  </si>
  <si>
    <t>Details</t>
  </si>
  <si>
    <t xml:space="preserve">Correction of some détails </t>
  </si>
  <si>
    <t>Re-arrangement</t>
  </si>
  <si>
    <t>Troops types</t>
  </si>
  <si>
    <t>Setting the columns in the same order as in the army list books</t>
  </si>
  <si>
    <t>Scythed Chariots</t>
  </si>
  <si>
    <t>Correction of a bug</t>
  </si>
  <si>
    <t>BG Total</t>
  </si>
  <si>
    <t>Real counting of BG in the BG number</t>
  </si>
  <si>
    <t>Bug Fix</t>
  </si>
  <si>
    <t>Correction of Autobreack and 25% are calculated with the help of "order of march " cells.</t>
  </si>
  <si>
    <t>The real counting of BG in the BG number all counting are made on the first line of mixed BG.</t>
  </si>
  <si>
    <t>Mob Troops</t>
  </si>
  <si>
    <t>Can now be "protected" armour class</t>
  </si>
  <si>
    <t>Attrition score is taken from the official scoring sheet.</t>
  </si>
  <si>
    <t>Major re-design of the presentation</t>
  </si>
  <si>
    <t>Addition of the German version</t>
  </si>
  <si>
    <t>Order Of March</t>
  </si>
  <si>
    <t>Addition of an important comment for the order of march</t>
  </si>
  <si>
    <t>The “Mb” must now register their armour</t>
  </si>
  <si>
    <t>Abbreviations</t>
  </si>
  <si>
    <t>Rewording to make them identical to the rule book</t>
  </si>
  <si>
    <t>Artillery</t>
  </si>
  <si>
    <t>Introduction of the POA “Heavy artillery” and “light artillery”</t>
  </si>
  <si>
    <t>The BWG with light artillery must register the corresponding POA</t>
  </si>
  <si>
    <t>Allied General</t>
  </si>
  <si>
    <t>The reduction for the general allied is calculated when the box “special” is filled</t>
  </si>
  <si>
    <t>Weapons</t>
  </si>
  <si>
    <t>Correction of the bugs for some weapons</t>
  </si>
  <si>
    <t>Pre Battle Initiative</t>
  </si>
  <si>
    <t>Correction for mounted</t>
  </si>
  <si>
    <t>Elephant and scythed chariot can, or not, register "average" quality without affecting the end value.</t>
  </si>
  <si>
    <t>Speadsheet Design</t>
  </si>
  <si>
    <t>Cosmetic change in frontage and arrangement in backroom !</t>
  </si>
  <si>
    <t>BG Deployement</t>
  </si>
  <si>
    <t>Automatic calculation once the order of march filled</t>
  </si>
  <si>
    <t>Automatic calculation (It is necessary to indicate in the column “special” the CinC)</t>
  </si>
  <si>
    <t>Semi automatic translation of the French and spanish data (the translition is done starting from a new sheet)</t>
  </si>
  <si>
    <t>Nationality can be changed. This modifies the headings into the selected language ( Thanks to Vincent)</t>
  </si>
  <si>
    <t>Formulas</t>
  </si>
  <si>
    <t>A code is just in order to light in red the cells of involuntarily modified formulas</t>
  </si>
  <si>
    <t>Troops</t>
  </si>
  <si>
    <t>A filter is in order on the column to clean the useless lines ( you have just to strip the box "vacuums")</t>
  </si>
  <si>
    <t>The cells are freed in order to allow a ranking filter on the column</t>
  </si>
  <si>
    <t>Datasheets</t>
  </si>
  <si>
    <t>They are masked to avoid errors</t>
  </si>
  <si>
    <t>Now have different Quality</t>
  </si>
  <si>
    <t>Now Elephant and scythed chariot don't need to have quality selected ( They are always average)</t>
  </si>
  <si>
    <t>Speadsheet Name</t>
  </si>
  <si>
    <t>Given official name</t>
  </si>
  <si>
    <t>Columna especial</t>
  </si>
  <si>
    <t>Nuevo nombre para esta columna</t>
  </si>
  <si>
    <t>Gráfico</t>
  </si>
  <si>
    <t>Añadido logo de FOG con el permiso de JD McNeil</t>
  </si>
  <si>
    <t>Nombre de la hoja</t>
  </si>
  <si>
    <t>Nuevo nombre para la hoja</t>
  </si>
  <si>
    <t>Información del torneo</t>
  </si>
  <si>
    <t>Las informaciones pertinentes a un torneo estan agrupadas en un solo cuadro. Si no sirven, se pueden enmascarar.</t>
  </si>
  <si>
    <t>Añadido columna para verificar el trabajo de verificacion de listas</t>
  </si>
  <si>
    <t>No hay que rellenar las celdas coloradas porque contienen formulas</t>
  </si>
  <si>
    <t>Nombre de las listas</t>
  </si>
  <si>
    <t xml:space="preserve">Para los vagos (como yo), se puede escoger el libro de listas en el menu y entrado el numero de pagina del índice se marca automaticamente la lista </t>
  </si>
  <si>
    <t>de ejercito</t>
  </si>
  <si>
    <t>BG</t>
  </si>
  <si>
    <t>39 posiciones disponibles para los diferentes BGs.</t>
  </si>
  <si>
    <t>El despliegue de los BGs accepta hasta 36 BGs distintos</t>
  </si>
  <si>
    <t>Columna autobreak</t>
  </si>
  <si>
    <t>En la columna autobreak, los generales y el campamento fortificado estan marcados como tal porque no necesitan este valor</t>
  </si>
  <si>
    <t>Diseño de la hoja</t>
  </si>
  <si>
    <t>Cambio colores</t>
  </si>
  <si>
    <t>Cambios menores</t>
  </si>
  <si>
    <t>Limpieza de las formulas</t>
  </si>
  <si>
    <t>cambio del orden de las columnas para coincidir con las listas</t>
  </si>
  <si>
    <t>Corregido bugs</t>
  </si>
  <si>
    <t>Corregido bug de carros falcados</t>
  </si>
  <si>
    <t>Total de los BGs</t>
  </si>
  <si>
    <t>calculo objetivo en el orden de marcha.</t>
  </si>
  <si>
    <t>Resuelto el problema de los BGs mixtos. El auto break y el 25% se calculan con las celdas de la primera linea del orden de marcha del BG mixto.</t>
  </si>
  <si>
    <t>Turbas</t>
  </si>
  <si>
    <t>Los "Mobs" pueden ser protegidos</t>
  </si>
  <si>
    <t>Atricion</t>
  </si>
  <si>
    <t>El calculo de la atrición se hace igual que la versión oficial de la hoja de puntuación</t>
  </si>
  <si>
    <t>Modificación importante de la presentación de la hoja</t>
  </si>
  <si>
    <t>Opciones de idiomas</t>
  </si>
  <si>
    <t>Añadido version alemana</t>
  </si>
  <si>
    <t>Añadido comentario para el orden de marcha</t>
  </si>
  <si>
    <t>Las "Mb" deben marcar su armadura</t>
  </si>
  <si>
    <t>Abreviaciones</t>
  </si>
  <si>
    <t>Cambio de las abreviaciones para que sean idénticos a los de la regla</t>
  </si>
  <si>
    <t>Artilleria</t>
  </si>
  <si>
    <t>Introdución de los POA de "Artilleria Pesada" y "Artilleria Ligera"</t>
  </si>
  <si>
    <t>Vagones de guerra</t>
  </si>
  <si>
    <t>Los vagones con artilleria deben marcar la casilla correspondiente con esta competencia</t>
  </si>
  <si>
    <t>General aliado</t>
  </si>
  <si>
    <t>El descuento para un general aliado se calcula cuando se seleciona esta opción en la casilla "especial"</t>
  </si>
  <si>
    <t>Corregido bugs en competencias</t>
  </si>
  <si>
    <t>Corregido algunas competencias</t>
  </si>
  <si>
    <t>Iniciativa</t>
  </si>
  <si>
    <t>Corregido la iniciativa para montados</t>
  </si>
  <si>
    <t>Elefantes y carros falcados pueden marcar su calidad como "media" sin afectar el coste.</t>
  </si>
  <si>
    <t>Cambios superficiales</t>
  </si>
  <si>
    <t>cálculo automático del despliegue una vez rellenado el orden de marcha</t>
  </si>
  <si>
    <t>cálculo automático de la iniciativa (es necesario indicar en la columna “especial” el CinC)</t>
  </si>
  <si>
    <t>traducción semiautomática de los datos en Francés y en Español</t>
  </si>
  <si>
    <t>La nacionalidad puede cambiarse, lo que modifica los encabezados a la lengua correspondiente (gracias a Vincent)</t>
  </si>
  <si>
    <t>Formula</t>
  </si>
  <si>
    <t>Código para marcar en rojo las celdas modificadas involuntariamente</t>
  </si>
  <si>
    <t>Filtro en la columna "Tropas" para eliminar las líneas inútiles (basta con marcar la casilla "vacías"</t>
  </si>
  <si>
    <t>Orden de Marcha</t>
  </si>
  <si>
    <t>Las celdas se desbloquean para poder aplicar el filtro en la columna "Orden de marcha"</t>
  </si>
  <si>
    <t>Hojas de calculo</t>
  </si>
  <si>
    <t>Las hojas de datos están enmascaradas para evitar errores</t>
  </si>
  <si>
    <t>Las Turbas (Mob) pueden tener una calidad diferente</t>
  </si>
  <si>
    <t>Los elefantes y los carros falcados ya no necesitan incluir Calidad (son siempre medios)</t>
  </si>
  <si>
    <t>Añadido nombre</t>
  </si>
  <si>
    <t>Tiene oficialmente nombre :-)</t>
  </si>
  <si>
    <t>By Karsten Loh</t>
  </si>
  <si>
    <t>Arbeitsblatt Aufbau</t>
  </si>
  <si>
    <t>Komplette Umgestaltung der Präsentation, Übersichtsektionen für Spieler, Armee und Befehlshaber hinzugefügt.</t>
  </si>
  <si>
    <t>Feldbefestigungen Summe</t>
  </si>
  <si>
    <t>Anzeigezelle für diese neue Funktion hinzugefügt.</t>
  </si>
  <si>
    <t>Entfernt da nicht länger verwendet.</t>
  </si>
  <si>
    <t>Überschrift zu: „Kamele und tragbare Hindernisse“ geändert.</t>
  </si>
  <si>
    <t>Grafik</t>
  </si>
  <si>
    <t>FoG Logo hinzugefügt.</t>
  </si>
  <si>
    <t>Dateiname</t>
  </si>
  <si>
    <t>Dateiname in "ArmyListGenerator_x.x" geändert (wobei x_x die Versionsnr. darstellt.)</t>
  </si>
  <si>
    <t>Turnierinformationen</t>
  </si>
  <si>
    <t>Wird in einer einzigen Variablen gespeichert.</t>
  </si>
  <si>
    <t>Diese spalte wurde hinzugefügt um die Arbeit der Listenprüfer zu vereinfachen.</t>
  </si>
  <si>
    <t>Reservierte Zellen</t>
  </si>
  <si>
    <t>Bitte nichts in die eingefärbten Zeilen schreiben, sie enthalten alle formeln und werden automatisch ausgefüllt.</t>
  </si>
  <si>
    <t>Listenname</t>
  </si>
  <si>
    <t>Für Faule spieler (wie mich), wählt das Armeebuch im Menü und gebt die Seitenzahl (aus dem Inhaltsverzeichnis) ein</t>
  </si>
  <si>
    <t>Die entsprechende Armee wird dann automatisch ermittelt.</t>
  </si>
  <si>
    <t>z.B.:</t>
  </si>
  <si>
    <t>Kampfverbände</t>
  </si>
  <si>
    <t>Es können nun bis zu 39 Zeilen für KV (und gemischte KV) berücksichtigt werden.</t>
  </si>
  <si>
    <t>KV Aufteilung</t>
  </si>
  <si>
    <t>Es werden nun bis zu 36 verschiedene Kampfverbände akzeptiert.</t>
  </si>
  <si>
    <t>Automatisches Brechen</t>
  </si>
  <si>
    <t>Befehlshaber und Generäle benötigen diesen Wert nicht, dies wird nun berücksichtigt.</t>
  </si>
  <si>
    <t>Einige Änderungen</t>
  </si>
  <si>
    <t>Detailkorrekturen</t>
  </si>
  <si>
    <t>Neu-Gestaltet</t>
  </si>
  <si>
    <t>Truppentypen</t>
  </si>
  <si>
    <t>Die Spalten sind nun in der gleichen Reihenfolge wie in den Armeebüchern.</t>
  </si>
  <si>
    <t>Sichelstreitwagen</t>
  </si>
  <si>
    <t>Ein Fehler behoben</t>
  </si>
  <si>
    <t>Die tatsächliche Zahl der KV wird nun hier angezeigt.</t>
  </si>
  <si>
    <t>Fehlerkorrektur, automatisches Brechen und 25% Zahl werden nun unter mit Hilfe der Marschordnungszellen berechnet.</t>
  </si>
  <si>
    <t>Fehlerkorrektur. Die tatsächlichen Angaben zu einem KV werden nun in der ersten Zeile eines gemischten KV angezeigt.</t>
  </si>
  <si>
    <t>Mob Truppen</t>
  </si>
  <si>
    <t>Können jetzt die Rüstungsklasse „Geschützt“ zugewiesen bekommen</t>
  </si>
  <si>
    <t>Verluste</t>
  </si>
  <si>
    <t>Verlustpunkte werden nun vom offiziellen „scoring sheet“ übernommen.</t>
  </si>
  <si>
    <t>Komplette Umgestaltung im Aufbau des Arbeitsblattes</t>
  </si>
  <si>
    <t>Sprachoptionen</t>
  </si>
  <si>
    <t>Deutsche Version hinzugefügt</t>
  </si>
  <si>
    <t>Wichtiger Hinweise zur Marschordnung hinzugefügt.</t>
  </si>
  <si>
    <t>„Mob“ muss nun eine Rüstungsklasse zugewiesen bekommen.</t>
  </si>
  <si>
    <t>Abkürzungen</t>
  </si>
  <si>
    <t>Geändert um sie denen der Regeln anzugleichen</t>
  </si>
  <si>
    <t>Vorteilspunkte “Schwere Artillerie” und “Leichte Artillerie” neu hinzugefügt.</t>
  </si>
  <si>
    <t>Kampfwagen</t>
  </si>
  <si>
    <t>Kampfwagen mit leichter Artillerie können diese nun unter Fernkampf VP auch aufführen.</t>
  </si>
  <si>
    <t>Die reduzierten kosten für einen Alliierten Befehlshaber werden nun automatisch berücksichtigt wenn dieser unter Spezial so definiert wird.</t>
  </si>
  <si>
    <t>Bewaffnung</t>
  </si>
  <si>
    <t>einige Fehler zu den Waffen korrigiert</t>
  </si>
  <si>
    <t>Initiative vor der Schlacht</t>
  </si>
  <si>
    <t>Korrektur der Initiative für Berittene vor der Schlacht</t>
  </si>
  <si>
    <t>Elefanten und Sichelstreitwagen können durchschnittlicher Qualität sein, ohne den Wert zu ändern</t>
  </si>
  <si>
    <t>Aussehen neu arrangiert</t>
  </si>
  <si>
    <t>automatische Berechnung der Aufstellung, sobald die Marschordnung eingegeben ist</t>
  </si>
  <si>
    <t>automatische Berechnung der Schlacht Initiative (dazu ist es nötig den CinC in der Spalte "Spezial" anzugeben)</t>
  </si>
  <si>
    <t>halbautomatische Sprachwahl (die Übersetzung wird in einer neuen Tabelle erzeugt)</t>
  </si>
  <si>
    <t>Die Nationalität kann eingestellt werden, das erzeugt Spaltenüberschriften in der entsprechenden Sprache (Dank an Vincent)</t>
  </si>
  <si>
    <t>Formeln</t>
  </si>
  <si>
    <t>Code implementiert um unfreiwillig geänderte Formel zu markieren</t>
  </si>
  <si>
    <t>Filter implementiert in der Spalte "Truppen" um leere Zeilen zu löschen (die Box "vacuums" ankreuzen)</t>
  </si>
  <si>
    <t>Die Zellen werden geleert um eine Reihenfolge in der Spalte "Marschordnung" anzugeben</t>
  </si>
  <si>
    <t>Datenblatt</t>
  </si>
  <si>
    <t>Die Datenblätter sind geschützt, um Fehler zu vermeiden</t>
  </si>
  <si>
    <t>Mob kann jetzt unterschiedliche Qualitäten haben</t>
  </si>
  <si>
    <t>Elefanten und Sichelstreitwagen brauchen jetzt keine Qualität mehr (sind immer durchschnittlich)</t>
  </si>
  <si>
    <t>Arbeitsblatt Name</t>
  </si>
  <si>
    <t>Jetzt mit offiziellem Namen;-)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</si>
</sst>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+ &quot;0"/>
    <numFmt numFmtId="165" formatCode="0#\ ##\ ##\ ##\ ##"/>
    <numFmt numFmtId="166" formatCode="0.0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2"/>
      <name val="Book Antiqua"/>
      <family val="1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4"/>
      <color indexed="43"/>
      <name val="Arial"/>
      <family val="2"/>
    </font>
    <font>
      <b/>
      <i/>
      <sz val="12"/>
      <color indexed="43"/>
      <name val="Arial"/>
      <family val="2"/>
    </font>
    <font>
      <b/>
      <sz val="12"/>
      <color indexed="4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43"/>
      <name val="Arial"/>
      <family val="2"/>
    </font>
    <font>
      <u val="single"/>
      <sz val="10"/>
      <color indexed="54"/>
      <name val="Arial"/>
      <family val="2"/>
    </font>
    <font>
      <b/>
      <sz val="9"/>
      <color indexed="43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2"/>
      <color indexed="9"/>
      <name val="Arial"/>
      <family val="2"/>
    </font>
    <font>
      <b/>
      <sz val="12"/>
      <color indexed="57"/>
      <name val="Arial"/>
      <family val="2"/>
    </font>
    <font>
      <b/>
      <sz val="28"/>
      <name val="Arial"/>
      <family val="2"/>
    </font>
    <font>
      <b/>
      <sz val="10"/>
      <color indexed="43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43"/>
      <name val="Arial"/>
      <family val="2"/>
    </font>
    <font>
      <sz val="10"/>
      <name val="Book Antiqua"/>
      <family val="1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u val="single"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" fillId="13" borderId="1" applyNumberFormat="0" applyAlignment="0" applyProtection="0"/>
    <xf numFmtId="0" fontId="57" fillId="32" borderId="2" applyNumberFormat="0" applyAlignment="0" applyProtection="0"/>
    <xf numFmtId="0" fontId="5" fillId="0" borderId="3" applyNumberFormat="0" applyFill="0" applyAlignment="0" applyProtection="0"/>
    <xf numFmtId="0" fontId="58" fillId="33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3" borderId="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11" borderId="1" applyNumberFormat="0" applyAlignment="0" applyProtection="0"/>
    <xf numFmtId="0" fontId="59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35" borderId="2" applyNumberFormat="0" applyAlignment="0" applyProtection="0"/>
    <xf numFmtId="0" fontId="7" fillId="4" borderId="0" applyNumberFormat="0" applyBorder="0" applyAlignment="0" applyProtection="0"/>
    <xf numFmtId="0" fontId="65" fillId="0" borderId="9" applyNumberFormat="0" applyFill="0" applyAlignment="0" applyProtection="0"/>
    <xf numFmtId="0" fontId="66" fillId="36" borderId="0" applyNumberFormat="0" applyBorder="0" applyAlignment="0" applyProtection="0"/>
    <xf numFmtId="0" fontId="8" fillId="12" borderId="0" applyNumberFormat="0" applyBorder="0" applyAlignment="0" applyProtection="0"/>
    <xf numFmtId="0" fontId="0" fillId="37" borderId="10" applyNumberFormat="0" applyFont="0" applyAlignment="0" applyProtection="0"/>
    <xf numFmtId="0" fontId="67" fillId="32" borderId="11" applyNumberFormat="0" applyAlignment="0" applyProtection="0"/>
    <xf numFmtId="9" fontId="0" fillId="0" borderId="0" applyFill="0" applyBorder="0" applyAlignment="0" applyProtection="0"/>
    <xf numFmtId="0" fontId="9" fillId="38" borderId="0" applyNumberFormat="0" applyBorder="0" applyAlignment="0" applyProtection="0"/>
    <xf numFmtId="0" fontId="10" fillId="13" borderId="12" applyNumberFormat="0" applyAlignment="0" applyProtection="0"/>
    <xf numFmtId="0" fontId="11" fillId="0" borderId="13">
      <alignment horizontal="center" vertical="center"/>
      <protection locked="0"/>
    </xf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39" borderId="18" applyNumberFormat="0" applyAlignment="0" applyProtection="0"/>
    <xf numFmtId="0" fontId="69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19" fillId="0" borderId="0" xfId="0" applyFont="1" applyAlignment="1" applyProtection="1">
      <alignment horizontal="left" wrapText="1"/>
      <protection hidden="1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 applyProtection="1">
      <alignment wrapText="1"/>
      <protection hidden="1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0" fillId="4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5" fillId="41" borderId="20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164" fontId="2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41" borderId="13" xfId="0" applyFont="1" applyFill="1" applyBorder="1" applyAlignment="1" applyProtection="1">
      <alignment horizontal="center" vertical="center" wrapText="1"/>
      <protection/>
    </xf>
    <xf numFmtId="0" fontId="25" fillId="41" borderId="22" xfId="0" applyFont="1" applyFill="1" applyBorder="1" applyAlignment="1">
      <alignment horizontal="center" vertical="center"/>
    </xf>
    <xf numFmtId="0" fontId="25" fillId="41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wrapText="1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36" fillId="0" borderId="0" xfId="0" applyFont="1" applyFill="1" applyBorder="1" applyAlignment="1" applyProtection="1">
      <alignment vertical="center" wrapText="1"/>
      <protection/>
    </xf>
    <xf numFmtId="0" fontId="0" fillId="41" borderId="20" xfId="0" applyFont="1" applyFill="1" applyBorder="1" applyAlignment="1">
      <alignment/>
    </xf>
    <xf numFmtId="0" fontId="25" fillId="41" borderId="21" xfId="0" applyFont="1" applyFill="1" applyBorder="1" applyAlignment="1" applyProtection="1">
      <alignment horizontal="center" vertical="top" wrapText="1"/>
      <protection/>
    </xf>
    <xf numFmtId="0" fontId="39" fillId="41" borderId="13" xfId="0" applyFont="1" applyFill="1" applyBorder="1" applyAlignment="1" applyProtection="1">
      <alignment horizontal="center" vertical="center" wrapText="1"/>
      <protection/>
    </xf>
    <xf numFmtId="49" fontId="39" fillId="41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20" fillId="3" borderId="13" xfId="0" applyFont="1" applyFill="1" applyBorder="1" applyAlignment="1" applyProtection="1">
      <alignment horizontal="center" vertical="center"/>
      <protection hidden="1"/>
    </xf>
    <xf numFmtId="0" fontId="19" fillId="3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locked="0"/>
    </xf>
    <xf numFmtId="0" fontId="0" fillId="40" borderId="0" xfId="0" applyFont="1" applyFill="1" applyAlignment="1">
      <alignment/>
    </xf>
    <xf numFmtId="0" fontId="0" fillId="40" borderId="23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1" fontId="0" fillId="0" borderId="19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3" xfId="0" applyFont="1" applyBorder="1" applyAlignment="1" applyProtection="1">
      <alignment horizontal="center"/>
      <protection hidden="1"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40" fillId="0" borderId="26" xfId="0" applyFont="1" applyBorder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 hidden="1"/>
    </xf>
    <xf numFmtId="0" fontId="0" fillId="28" borderId="0" xfId="0" applyFill="1" applyBorder="1" applyAlignment="1">
      <alignment/>
    </xf>
    <xf numFmtId="0" fontId="0" fillId="28" borderId="19" xfId="0" applyFill="1" applyBorder="1" applyAlignment="1">
      <alignment/>
    </xf>
    <xf numFmtId="0" fontId="0" fillId="28" borderId="0" xfId="0" applyFill="1" applyAlignment="1">
      <alignment/>
    </xf>
    <xf numFmtId="0" fontId="4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vertical="center"/>
    </xf>
    <xf numFmtId="164" fontId="0" fillId="0" borderId="0" xfId="0" applyNumberFormat="1" applyFont="1" applyAlignment="1" applyProtection="1">
      <alignment/>
      <protection hidden="1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42" borderId="0" xfId="0" applyFill="1" applyBorder="1" applyAlignment="1">
      <alignment/>
    </xf>
    <xf numFmtId="0" fontId="0" fillId="42" borderId="19" xfId="0" applyFill="1" applyBorder="1" applyAlignment="1">
      <alignment/>
    </xf>
    <xf numFmtId="0" fontId="0" fillId="42" borderId="0" xfId="0" applyFill="1" applyBorder="1" applyAlignment="1">
      <alignment vertical="center"/>
    </xf>
    <xf numFmtId="0" fontId="0" fillId="42" borderId="19" xfId="0" applyFill="1" applyBorder="1" applyAlignment="1">
      <alignment vertical="center"/>
    </xf>
    <xf numFmtId="0" fontId="0" fillId="42" borderId="0" xfId="0" applyFill="1" applyAlignment="1">
      <alignment vertical="center"/>
    </xf>
    <xf numFmtId="0" fontId="40" fillId="0" borderId="0" xfId="0" applyFont="1" applyBorder="1" applyAlignment="1" applyProtection="1">
      <alignment horizontal="center"/>
      <protection hidden="1"/>
    </xf>
    <xf numFmtId="1" fontId="0" fillId="0" borderId="19" xfId="0" applyNumberFormat="1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0" xfId="0" applyFill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0" fillId="13" borderId="19" xfId="0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40" borderId="0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0" xfId="0" applyFill="1" applyAlignment="1">
      <alignment/>
    </xf>
    <xf numFmtId="0" fontId="0" fillId="0" borderId="28" xfId="0" applyBorder="1" applyAlignment="1">
      <alignment/>
    </xf>
    <xf numFmtId="0" fontId="0" fillId="12" borderId="0" xfId="0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0" xfId="0" applyFill="1" applyAlignment="1">
      <alignment/>
    </xf>
    <xf numFmtId="0" fontId="0" fillId="27" borderId="0" xfId="0" applyFont="1" applyFill="1" applyBorder="1" applyAlignment="1">
      <alignment/>
    </xf>
    <xf numFmtId="0" fontId="0" fillId="27" borderId="19" xfId="0" applyFont="1" applyFill="1" applyBorder="1" applyAlignment="1">
      <alignment/>
    </xf>
    <xf numFmtId="0" fontId="0" fillId="27" borderId="0" xfId="0" applyFont="1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left"/>
    </xf>
    <xf numFmtId="1" fontId="0" fillId="0" borderId="31" xfId="0" applyNumberForma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/>
    </xf>
    <xf numFmtId="0" fontId="0" fillId="26" borderId="24" xfId="0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0" xfId="0" applyFill="1" applyAlignment="1">
      <alignment/>
    </xf>
    <xf numFmtId="0" fontId="0" fillId="0" borderId="31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right"/>
    </xf>
    <xf numFmtId="49" fontId="0" fillId="0" borderId="19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0" xfId="0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9" xfId="0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21" fillId="0" borderId="32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 hidden="1"/>
    </xf>
    <xf numFmtId="0" fontId="40" fillId="0" borderId="30" xfId="0" applyFont="1" applyBorder="1" applyAlignment="1" applyProtection="1">
      <alignment horizontal="center"/>
      <protection hidden="1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 vertical="center"/>
    </xf>
    <xf numFmtId="0" fontId="19" fillId="43" borderId="0" xfId="0" applyFont="1" applyFill="1" applyAlignment="1">
      <alignment/>
    </xf>
    <xf numFmtId="0" fontId="42" fillId="43" borderId="0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0" fontId="19" fillId="41" borderId="20" xfId="0" applyFont="1" applyFill="1" applyBorder="1" applyAlignment="1">
      <alignment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12" borderId="13" xfId="0" applyFont="1" applyFill="1" applyBorder="1" applyAlignment="1" applyProtection="1">
      <alignment horizontal="center" vertical="center"/>
      <protection hidden="1"/>
    </xf>
    <xf numFmtId="0" fontId="26" fillId="12" borderId="13" xfId="0" applyFont="1" applyFill="1" applyBorder="1" applyAlignment="1" applyProtection="1">
      <alignment horizontal="center" vertical="center"/>
      <protection hidden="1"/>
    </xf>
    <xf numFmtId="0" fontId="19" fillId="12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/>
    </xf>
    <xf numFmtId="0" fontId="0" fillId="43" borderId="24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4" xfId="0" applyFont="1" applyFill="1" applyBorder="1" applyAlignment="1">
      <alignment/>
    </xf>
    <xf numFmtId="166" fontId="0" fillId="39" borderId="0" xfId="0" applyNumberFormat="1" applyFill="1" applyAlignment="1">
      <alignment horizontal="left"/>
    </xf>
    <xf numFmtId="0" fontId="0" fillId="39" borderId="23" xfId="0" applyFont="1" applyFill="1" applyBorder="1" applyAlignment="1">
      <alignment horizontal="center"/>
    </xf>
    <xf numFmtId="0" fontId="0" fillId="39" borderId="0" xfId="0" applyFill="1" applyAlignment="1">
      <alignment horizontal="left"/>
    </xf>
    <xf numFmtId="0" fontId="0" fillId="13" borderId="0" xfId="0" applyFont="1" applyFill="1" applyBorder="1" applyAlignment="1">
      <alignment/>
    </xf>
    <xf numFmtId="0" fontId="0" fillId="13" borderId="0" xfId="0" applyFont="1" applyFill="1" applyAlignment="1">
      <alignment/>
    </xf>
    <xf numFmtId="0" fontId="0" fillId="43" borderId="0" xfId="0" applyFill="1" applyAlignment="1">
      <alignment/>
    </xf>
    <xf numFmtId="0" fontId="0" fillId="0" borderId="0" xfId="0" applyFill="1" applyAlignment="1">
      <alignment/>
    </xf>
    <xf numFmtId="0" fontId="0" fillId="39" borderId="23" xfId="0" applyFill="1" applyBorder="1" applyAlignment="1">
      <alignment horizontal="left"/>
    </xf>
    <xf numFmtId="0" fontId="0" fillId="39" borderId="27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0" fillId="13" borderId="0" xfId="0" applyFont="1" applyFill="1" applyAlignment="1">
      <alignment/>
    </xf>
    <xf numFmtId="0" fontId="45" fillId="13" borderId="0" xfId="0" applyFont="1" applyFill="1" applyBorder="1" applyAlignment="1">
      <alignment vertical="center"/>
    </xf>
    <xf numFmtId="0" fontId="47" fillId="13" borderId="0" xfId="0" applyFont="1" applyFill="1" applyBorder="1" applyAlignment="1">
      <alignment vertical="center"/>
    </xf>
    <xf numFmtId="0" fontId="0" fillId="39" borderId="24" xfId="0" applyFill="1" applyBorder="1" applyAlignment="1">
      <alignment horizontal="left"/>
    </xf>
    <xf numFmtId="0" fontId="0" fillId="39" borderId="31" xfId="0" applyFont="1" applyFill="1" applyBorder="1" applyAlignment="1">
      <alignment horizontal="center"/>
    </xf>
    <xf numFmtId="0" fontId="0" fillId="39" borderId="29" xfId="0" applyFill="1" applyBorder="1" applyAlignment="1">
      <alignment horizontal="left"/>
    </xf>
    <xf numFmtId="0" fontId="0" fillId="39" borderId="25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43" borderId="0" xfId="0" applyFill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39" borderId="21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0" fillId="39" borderId="24" xfId="0" applyFill="1" applyBorder="1" applyAlignment="1">
      <alignment/>
    </xf>
    <xf numFmtId="0" fontId="0" fillId="39" borderId="20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40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5" fillId="41" borderId="20" xfId="0" applyFont="1" applyFill="1" applyBorder="1" applyAlignment="1">
      <alignment horizontal="center" vertical="center"/>
    </xf>
    <xf numFmtId="0" fontId="25" fillId="41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19" fillId="3" borderId="21" xfId="0" applyFont="1" applyFill="1" applyBorder="1" applyAlignment="1" applyProtection="1">
      <alignment horizontal="center" vertical="center"/>
      <protection hidden="1"/>
    </xf>
    <xf numFmtId="0" fontId="26" fillId="3" borderId="21" xfId="0" applyFont="1" applyFill="1" applyBorder="1" applyAlignment="1">
      <alignment horizontal="center" vertical="center" wrapText="1"/>
    </xf>
    <xf numFmtId="164" fontId="19" fillId="3" borderId="21" xfId="0" applyNumberFormat="1" applyFont="1" applyFill="1" applyBorder="1" applyAlignment="1" applyProtection="1">
      <alignment horizontal="center" vertical="center"/>
      <protection/>
    </xf>
    <xf numFmtId="0" fontId="25" fillId="41" borderId="13" xfId="0" applyFont="1" applyFill="1" applyBorder="1" applyAlignment="1" applyProtection="1">
      <alignment horizontal="center" vertical="center"/>
      <protection/>
    </xf>
    <xf numFmtId="0" fontId="25" fillId="41" borderId="20" xfId="0" applyFont="1" applyFill="1" applyBorder="1" applyAlignment="1">
      <alignment horizontal="center" vertical="center" wrapText="1"/>
    </xf>
    <xf numFmtId="0" fontId="29" fillId="0" borderId="21" xfId="75" applyNumberFormat="1" applyFont="1" applyFill="1" applyBorder="1" applyAlignment="1" applyProtection="1">
      <alignment horizontal="center" vertical="center"/>
      <protection/>
    </xf>
    <xf numFmtId="0" fontId="19" fillId="3" borderId="21" xfId="0" applyFont="1" applyFill="1" applyBorder="1" applyAlignment="1" applyProtection="1">
      <alignment horizontal="center" vertical="center"/>
      <protection hidden="1" locked="0"/>
    </xf>
    <xf numFmtId="0" fontId="25" fillId="41" borderId="13" xfId="0" applyFont="1" applyFill="1" applyBorder="1" applyAlignment="1">
      <alignment horizontal="center" vertical="center"/>
    </xf>
    <xf numFmtId="165" fontId="19" fillId="0" borderId="21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25" fillId="40" borderId="13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41" borderId="22" xfId="0" applyFont="1" applyFill="1" applyBorder="1" applyAlignment="1" applyProtection="1">
      <alignment horizontal="center" vertical="center" wrapText="1"/>
      <protection/>
    </xf>
    <xf numFmtId="0" fontId="25" fillId="41" borderId="13" xfId="0" applyFont="1" applyFill="1" applyBorder="1" applyAlignment="1" applyProtection="1">
      <alignment horizontal="center" vertical="center" wrapText="1"/>
      <protection/>
    </xf>
    <xf numFmtId="164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35" fillId="3" borderId="13" xfId="0" applyFont="1" applyFill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42" fillId="43" borderId="0" xfId="0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3" fillId="0" borderId="0" xfId="75" applyNumberFormat="1" applyFont="1" applyFill="1" applyBorder="1" applyAlignment="1" applyProtection="1">
      <alignment horizontal="center"/>
      <protection/>
    </xf>
    <xf numFmtId="0" fontId="29" fillId="0" borderId="24" xfId="75" applyNumberFormat="1" applyFont="1" applyFill="1" applyBorder="1" applyAlignment="1" applyProtection="1">
      <alignment horizontal="center"/>
      <protection/>
    </xf>
    <xf numFmtId="0" fontId="29" fillId="0" borderId="29" xfId="75" applyNumberFormat="1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3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13" borderId="0" xfId="0" applyFont="1" applyFill="1" applyBorder="1" applyAlignment="1">
      <alignment/>
    </xf>
    <xf numFmtId="0" fontId="19" fillId="39" borderId="0" xfId="0" applyFont="1" applyFill="1" applyBorder="1" applyAlignment="1">
      <alignment horizontal="center"/>
    </xf>
    <xf numFmtId="0" fontId="29" fillId="0" borderId="23" xfId="75" applyNumberFormat="1" applyFill="1" applyBorder="1" applyAlignment="1" applyProtection="1">
      <alignment horizontal="center"/>
      <protection/>
    </xf>
    <xf numFmtId="0" fontId="0" fillId="39" borderId="24" xfId="0" applyFont="1" applyFill="1" applyBorder="1" applyAlignment="1">
      <alignment horizontal="center"/>
    </xf>
    <xf numFmtId="0" fontId="0" fillId="39" borderId="24" xfId="0" applyFont="1" applyFill="1" applyBorder="1" applyAlignment="1">
      <alignment/>
    </xf>
    <xf numFmtId="0" fontId="0" fillId="13" borderId="20" xfId="0" applyFont="1" applyFill="1" applyBorder="1" applyAlignment="1">
      <alignment/>
    </xf>
    <xf numFmtId="0" fontId="0" fillId="13" borderId="23" xfId="0" applyFont="1" applyFill="1" applyBorder="1" applyAlignment="1">
      <alignment horizontal="left"/>
    </xf>
    <xf numFmtId="0" fontId="0" fillId="13" borderId="32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21" xfId="0" applyFont="1" applyFill="1" applyBorder="1" applyAlignment="1">
      <alignment/>
    </xf>
    <xf numFmtId="0" fontId="0" fillId="13" borderId="24" xfId="0" applyFont="1" applyFill="1" applyBorder="1" applyAlignment="1">
      <alignment/>
    </xf>
    <xf numFmtId="0" fontId="0" fillId="13" borderId="26" xfId="0" applyFont="1" applyFill="1" applyBorder="1" applyAlignment="1">
      <alignment/>
    </xf>
    <xf numFmtId="0" fontId="0" fillId="13" borderId="28" xfId="0" applyFont="1" applyFill="1" applyBorder="1" applyAlignment="1">
      <alignment/>
    </xf>
    <xf numFmtId="0" fontId="44" fillId="26" borderId="13" xfId="0" applyFont="1" applyFill="1" applyBorder="1" applyAlignment="1">
      <alignment horizontal="center" vertical="center"/>
    </xf>
    <xf numFmtId="0" fontId="45" fillId="2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46" fillId="12" borderId="13" xfId="0" applyFont="1" applyFill="1" applyBorder="1" applyAlignment="1" applyProtection="1">
      <alignment horizontal="center" vertical="center"/>
      <protection locked="0"/>
    </xf>
    <xf numFmtId="0" fontId="47" fillId="12" borderId="13" xfId="0" applyFont="1" applyFill="1" applyBorder="1" applyAlignment="1">
      <alignment horizontal="center" vertical="center"/>
    </xf>
    <xf numFmtId="0" fontId="0" fillId="13" borderId="30" xfId="0" applyFont="1" applyFill="1" applyBorder="1" applyAlignment="1">
      <alignment/>
    </xf>
    <xf numFmtId="0" fontId="0" fillId="13" borderId="22" xfId="0" applyFont="1" applyFill="1" applyBorder="1" applyAlignment="1">
      <alignment/>
    </xf>
    <xf numFmtId="0" fontId="0" fillId="13" borderId="23" xfId="0" applyFont="1" applyFill="1" applyBorder="1" applyAlignment="1">
      <alignment/>
    </xf>
    <xf numFmtId="0" fontId="0" fillId="39" borderId="21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48" fillId="12" borderId="13" xfId="0" applyFont="1" applyFill="1" applyBorder="1" applyAlignment="1" applyProtection="1">
      <alignment horizontal="center" vertical="center"/>
      <protection locked="0"/>
    </xf>
    <xf numFmtId="0" fontId="21" fillId="12" borderId="13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/>
    </xf>
    <xf numFmtId="0" fontId="0" fillId="13" borderId="29" xfId="0" applyFont="1" applyFill="1" applyBorder="1" applyAlignment="1">
      <alignment/>
    </xf>
    <xf numFmtId="0" fontId="0" fillId="13" borderId="28" xfId="0" applyFont="1" applyFill="1" applyBorder="1" applyAlignment="1">
      <alignment horizontal="left" vertical="center"/>
    </xf>
    <xf numFmtId="0" fontId="0" fillId="13" borderId="30" xfId="0" applyFont="1" applyFill="1" applyBorder="1" applyAlignment="1">
      <alignment horizontal="left" vertical="center"/>
    </xf>
    <xf numFmtId="0" fontId="0" fillId="13" borderId="26" xfId="0" applyFont="1" applyFill="1" applyBorder="1" applyAlignment="1">
      <alignment horizontal="left" vertical="center"/>
    </xf>
    <xf numFmtId="0" fontId="0" fillId="13" borderId="0" xfId="0" applyFont="1" applyFill="1" applyBorder="1" applyAlignment="1">
      <alignment horizontal="left" vertical="center"/>
    </xf>
    <xf numFmtId="0" fontId="0" fillId="13" borderId="24" xfId="0" applyFont="1" applyFill="1" applyBorder="1" applyAlignment="1">
      <alignment horizontal="left" vertical="center"/>
    </xf>
  </cellXfs>
  <cellStyles count="8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nsatisfaisant" xfId="77"/>
    <cellStyle name="Linked Cell" xfId="78"/>
    <cellStyle name="Neutral" xfId="79"/>
    <cellStyle name="Neutre" xfId="80"/>
    <cellStyle name="Note" xfId="81"/>
    <cellStyle name="Output" xfId="82"/>
    <cellStyle name="Percent" xfId="83"/>
    <cellStyle name="Satisfaisant" xfId="84"/>
    <cellStyle name="Sortie" xfId="85"/>
    <cellStyle name="Style 1" xfId="86"/>
    <cellStyle name="Texte explicatif" xfId="87"/>
    <cellStyle name="Title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3</xdr:col>
      <xdr:colOff>0</xdr:colOff>
      <xdr:row>11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123825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9525</xdr:colOff>
      <xdr:row>3</xdr:row>
      <xdr:rowOff>9525</xdr:rowOff>
    </xdr:from>
    <xdr:to>
      <xdr:col>15</xdr:col>
      <xdr:colOff>1247775</xdr:colOff>
      <xdr:row>11</xdr:row>
      <xdr:rowOff>200025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54150" y="342900"/>
          <a:ext cx="1238250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2324100</xdr:colOff>
      <xdr:row>19</xdr:row>
      <xdr:rowOff>171450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33650"/>
          <a:ext cx="35623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an.cutner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eldofglory.fr/spip.php?article2" TargetMode="External" /><Relationship Id="rId2" Type="http://schemas.openxmlformats.org/officeDocument/2006/relationships/hyperlink" Target="http://www.fieldofglory.com/" TargetMode="External" /><Relationship Id="rId3" Type="http://schemas.openxmlformats.org/officeDocument/2006/relationships/hyperlink" Target="http://www.fieldofglory.fr/spip.php?article2" TargetMode="External" /><Relationship Id="rId4" Type="http://schemas.openxmlformats.org/officeDocument/2006/relationships/hyperlink" Target="http://www.fieldofglory.com/" TargetMode="External" /><Relationship Id="rId5" Type="http://schemas.openxmlformats.org/officeDocument/2006/relationships/hyperlink" Target="http://www.fieldofglory.fr/spip.php?article2" TargetMode="External" /><Relationship Id="rId6" Type="http://schemas.openxmlformats.org/officeDocument/2006/relationships/hyperlink" Target="http://www.fieldofglory.com/" TargetMode="External" /><Relationship Id="rId7" Type="http://schemas.openxmlformats.org/officeDocument/2006/relationships/comments" Target="../comments4.xml" /><Relationship Id="rId8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showGridLines="0" zoomScale="90" zoomScaleNormal="90" zoomScalePageLayoutView="0" workbookViewId="0" topLeftCell="A1">
      <selection activeCell="E1" sqref="E1"/>
    </sheetView>
  </sheetViews>
  <sheetFormatPr defaultColWidth="11.421875" defaultRowHeight="12.75"/>
  <cols>
    <col min="1" max="1" width="23.7109375" style="1" customWidth="1"/>
    <col min="2" max="2" width="23.140625" style="2" customWidth="1"/>
    <col min="3" max="3" width="22.7109375" style="2" customWidth="1"/>
    <col min="4" max="4" width="31.28125" style="2" customWidth="1"/>
    <col min="5" max="5" width="52.7109375" style="2" customWidth="1"/>
    <col min="6" max="16384" width="11.421875" style="2" customWidth="1"/>
  </cols>
  <sheetData>
    <row r="1" spans="1:5" ht="18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ht="15">
      <c r="A2" s="1" t="s">
        <v>5</v>
      </c>
      <c r="B2" s="2" t="s">
        <v>6</v>
      </c>
      <c r="C2" s="2" t="s">
        <v>7</v>
      </c>
      <c r="D2" s="2" t="s">
        <v>8</v>
      </c>
      <c r="E2" t="s">
        <v>9</v>
      </c>
    </row>
    <row r="3" spans="1:5" ht="15">
      <c r="A3" s="6" t="s">
        <v>10</v>
      </c>
      <c r="B3" s="2" t="s">
        <v>11</v>
      </c>
      <c r="C3" s="2" t="s">
        <v>12</v>
      </c>
      <c r="D3" s="2" t="s">
        <v>13</v>
      </c>
      <c r="E3" t="s">
        <v>14</v>
      </c>
    </row>
    <row r="4" spans="1:5" ht="15">
      <c r="A4" s="6" t="s">
        <v>15</v>
      </c>
      <c r="B4" s="7" t="s">
        <v>16</v>
      </c>
      <c r="C4" s="8" t="s">
        <v>17</v>
      </c>
      <c r="D4" s="2" t="s">
        <v>18</v>
      </c>
      <c r="E4" t="s">
        <v>19</v>
      </c>
    </row>
    <row r="5" spans="1:5" ht="15">
      <c r="A5" s="6" t="s">
        <v>20</v>
      </c>
      <c r="B5" s="8" t="s">
        <v>21</v>
      </c>
      <c r="C5" s="2" t="s">
        <v>22</v>
      </c>
      <c r="D5" s="2" t="s">
        <v>23</v>
      </c>
      <c r="E5" t="s">
        <v>24</v>
      </c>
    </row>
    <row r="6" spans="1:5" ht="15">
      <c r="A6" s="1" t="s">
        <v>25</v>
      </c>
      <c r="B6" s="2" t="s">
        <v>26</v>
      </c>
      <c r="C6" s="2" t="s">
        <v>27</v>
      </c>
      <c r="D6" s="2" t="s">
        <v>28</v>
      </c>
      <c r="E6" t="s">
        <v>29</v>
      </c>
    </row>
    <row r="7" spans="1:5" ht="15">
      <c r="A7" s="1" t="s">
        <v>30</v>
      </c>
      <c r="B7" s="2" t="s">
        <v>31</v>
      </c>
      <c r="C7" s="2" t="s">
        <v>32</v>
      </c>
      <c r="D7" s="2" t="s">
        <v>33</v>
      </c>
      <c r="E7" s="9" t="s">
        <v>34</v>
      </c>
    </row>
    <row r="8" spans="1:5" ht="15">
      <c r="A8" s="6" t="s">
        <v>35</v>
      </c>
      <c r="B8" s="2" t="s">
        <v>36</v>
      </c>
      <c r="C8" s="2" t="s">
        <v>37</v>
      </c>
      <c r="D8" s="2" t="s">
        <v>38</v>
      </c>
      <c r="E8" s="9" t="s">
        <v>39</v>
      </c>
    </row>
    <row r="9" spans="1:5" ht="15">
      <c r="A9" s="6" t="s">
        <v>40</v>
      </c>
      <c r="B9" s="7" t="s">
        <v>41</v>
      </c>
      <c r="C9" s="2" t="s">
        <v>42</v>
      </c>
      <c r="D9" s="2" t="s">
        <v>43</v>
      </c>
      <c r="E9" t="s">
        <v>44</v>
      </c>
    </row>
    <row r="10" spans="1:5" ht="30">
      <c r="A10" s="1" t="s">
        <v>45</v>
      </c>
      <c r="B10" s="2" t="s">
        <v>46</v>
      </c>
      <c r="C10" s="2" t="s">
        <v>47</v>
      </c>
      <c r="D10" s="2" t="s">
        <v>48</v>
      </c>
      <c r="E10" t="s">
        <v>49</v>
      </c>
    </row>
    <row r="11" spans="1:5" ht="45">
      <c r="A11" s="6" t="s">
        <v>50</v>
      </c>
      <c r="B11" s="7" t="s">
        <v>51</v>
      </c>
      <c r="C11" s="8" t="s">
        <v>50</v>
      </c>
      <c r="D11" s="8" t="s">
        <v>52</v>
      </c>
      <c r="E11" s="9" t="s">
        <v>53</v>
      </c>
    </row>
    <row r="12" spans="1:5" ht="15">
      <c r="A12" s="6" t="s">
        <v>54</v>
      </c>
      <c r="B12" s="7" t="s">
        <v>55</v>
      </c>
      <c r="C12" s="8" t="s">
        <v>54</v>
      </c>
      <c r="D12" s="8" t="s">
        <v>56</v>
      </c>
      <c r="E12" s="9" t="s">
        <v>57</v>
      </c>
    </row>
    <row r="13" spans="1:5" ht="15">
      <c r="A13" s="6" t="s">
        <v>58</v>
      </c>
      <c r="B13" s="2" t="s">
        <v>59</v>
      </c>
      <c r="C13" s="2" t="s">
        <v>60</v>
      </c>
      <c r="D13" s="2" t="s">
        <v>61</v>
      </c>
      <c r="E13" s="9" t="s">
        <v>62</v>
      </c>
    </row>
    <row r="14" spans="1:5" ht="15">
      <c r="A14" s="6" t="s">
        <v>63</v>
      </c>
      <c r="B14" s="2" t="s">
        <v>64</v>
      </c>
      <c r="C14" s="2" t="s">
        <v>65</v>
      </c>
      <c r="D14" s="2" t="s">
        <v>66</v>
      </c>
      <c r="E14" s="9" t="s">
        <v>67</v>
      </c>
    </row>
    <row r="15" spans="1:5" ht="15">
      <c r="A15" s="1" t="s">
        <v>68</v>
      </c>
      <c r="B15" s="2" t="s">
        <v>69</v>
      </c>
      <c r="C15" s="2" t="s">
        <v>70</v>
      </c>
      <c r="D15" s="2" t="s">
        <v>71</v>
      </c>
      <c r="E15" s="9" t="s">
        <v>72</v>
      </c>
    </row>
    <row r="16" spans="1:5" ht="15">
      <c r="A16" s="1" t="s">
        <v>73</v>
      </c>
      <c r="B16" s="2" t="s">
        <v>74</v>
      </c>
      <c r="C16" s="2" t="s">
        <v>75</v>
      </c>
      <c r="D16" s="2" t="s">
        <v>76</v>
      </c>
      <c r="E16" s="9" t="s">
        <v>77</v>
      </c>
    </row>
    <row r="17" spans="1:5" ht="15">
      <c r="A17" s="1" t="s">
        <v>78</v>
      </c>
      <c r="B17" s="2" t="s">
        <v>79</v>
      </c>
      <c r="C17" s="2" t="s">
        <v>80</v>
      </c>
      <c r="D17" s="2" t="s">
        <v>81</v>
      </c>
      <c r="E17" t="s">
        <v>82</v>
      </c>
    </row>
    <row r="18" spans="1:5" ht="15">
      <c r="A18" s="6" t="s">
        <v>83</v>
      </c>
      <c r="B18" s="2" t="s">
        <v>84</v>
      </c>
      <c r="C18" s="2" t="s">
        <v>85</v>
      </c>
      <c r="D18" s="2" t="s">
        <v>86</v>
      </c>
      <c r="E18" t="s">
        <v>87</v>
      </c>
    </row>
    <row r="19" spans="1:5" ht="15">
      <c r="A19" s="6" t="s">
        <v>88</v>
      </c>
      <c r="B19" s="2" t="s">
        <v>89</v>
      </c>
      <c r="C19" s="2" t="s">
        <v>90</v>
      </c>
      <c r="D19" s="2" t="s">
        <v>91</v>
      </c>
      <c r="E19" s="9" t="s">
        <v>90</v>
      </c>
    </row>
    <row r="20" spans="1:5" ht="15">
      <c r="A20" s="6" t="s">
        <v>92</v>
      </c>
      <c r="B20" s="2" t="s">
        <v>93</v>
      </c>
      <c r="C20" s="2" t="s">
        <v>94</v>
      </c>
      <c r="D20" s="2" t="s">
        <v>95</v>
      </c>
      <c r="E20" t="s">
        <v>96</v>
      </c>
    </row>
    <row r="21" spans="1:5" ht="15">
      <c r="A21" s="1" t="s">
        <v>97</v>
      </c>
      <c r="B21" s="2" t="s">
        <v>98</v>
      </c>
      <c r="C21" s="2" t="s">
        <v>99</v>
      </c>
      <c r="D21" s="2" t="s">
        <v>100</v>
      </c>
      <c r="E21" s="9" t="s">
        <v>101</v>
      </c>
    </row>
    <row r="22" spans="1:5" ht="15">
      <c r="A22" s="6" t="s">
        <v>102</v>
      </c>
      <c r="B22" s="2" t="s">
        <v>102</v>
      </c>
      <c r="C22" s="2" t="s">
        <v>102</v>
      </c>
      <c r="D22" s="2" t="s">
        <v>103</v>
      </c>
      <c r="E22" t="s">
        <v>102</v>
      </c>
    </row>
    <row r="23" spans="1:5" ht="15">
      <c r="A23" s="1" t="s">
        <v>104</v>
      </c>
      <c r="B23" s="2" t="s">
        <v>105</v>
      </c>
      <c r="C23" s="2" t="s">
        <v>106</v>
      </c>
      <c r="D23" s="2" t="s">
        <v>107</v>
      </c>
      <c r="E23" s="9" t="s">
        <v>108</v>
      </c>
    </row>
    <row r="24" spans="1:5" ht="15">
      <c r="A24" s="1" t="s">
        <v>109</v>
      </c>
      <c r="B24" s="2" t="s">
        <v>109</v>
      </c>
      <c r="C24" s="2" t="s">
        <v>109</v>
      </c>
      <c r="D24" s="2" t="s">
        <v>109</v>
      </c>
      <c r="E24" t="s">
        <v>109</v>
      </c>
    </row>
    <row r="25" spans="1:5" ht="30">
      <c r="A25" s="1" t="s">
        <v>110</v>
      </c>
      <c r="B25" s="2" t="s">
        <v>111</v>
      </c>
      <c r="C25" s="2" t="s">
        <v>112</v>
      </c>
      <c r="D25" s="2" t="s">
        <v>113</v>
      </c>
      <c r="E25" t="s">
        <v>114</v>
      </c>
    </row>
    <row r="26" spans="1:5" ht="30">
      <c r="A26" s="1" t="s">
        <v>115</v>
      </c>
      <c r="B26" s="2" t="s">
        <v>116</v>
      </c>
      <c r="C26" s="2" t="s">
        <v>117</v>
      </c>
      <c r="D26" s="2" t="s">
        <v>118</v>
      </c>
      <c r="E26" t="s">
        <v>119</v>
      </c>
    </row>
    <row r="27" spans="1:5" ht="15">
      <c r="A27" s="1" t="s">
        <v>120</v>
      </c>
      <c r="B27" s="2" t="s">
        <v>121</v>
      </c>
      <c r="C27" s="2" t="s">
        <v>122</v>
      </c>
      <c r="D27" s="2" t="s">
        <v>123</v>
      </c>
      <c r="E27" t="s">
        <v>124</v>
      </c>
    </row>
    <row r="28" spans="1:5" ht="15">
      <c r="A28" s="6" t="s">
        <v>125</v>
      </c>
      <c r="B28" s="2" t="s">
        <v>126</v>
      </c>
      <c r="C28" s="2" t="s">
        <v>127</v>
      </c>
      <c r="D28" s="2" t="s">
        <v>128</v>
      </c>
      <c r="E28" t="s">
        <v>129</v>
      </c>
    </row>
    <row r="29" spans="1:5" ht="15">
      <c r="A29" s="6" t="s">
        <v>130</v>
      </c>
      <c r="B29" s="2" t="s">
        <v>131</v>
      </c>
      <c r="C29" s="2" t="s">
        <v>132</v>
      </c>
      <c r="D29" s="2" t="s">
        <v>133</v>
      </c>
      <c r="E29" t="s">
        <v>134</v>
      </c>
    </row>
    <row r="30" spans="1:5" ht="15">
      <c r="A30" s="6" t="s">
        <v>135</v>
      </c>
      <c r="B30" s="2" t="s">
        <v>136</v>
      </c>
      <c r="C30" s="2" t="s">
        <v>137</v>
      </c>
      <c r="D30" s="2" t="s">
        <v>138</v>
      </c>
      <c r="E30" t="s">
        <v>139</v>
      </c>
    </row>
    <row r="31" spans="1:5" ht="15">
      <c r="A31" s="1" t="s">
        <v>140</v>
      </c>
      <c r="B31" s="2" t="s">
        <v>141</v>
      </c>
      <c r="C31" s="2" t="s">
        <v>142</v>
      </c>
      <c r="D31" s="2" t="s">
        <v>143</v>
      </c>
      <c r="E31" s="9" t="s">
        <v>144</v>
      </c>
    </row>
    <row r="32" spans="1:5" ht="15">
      <c r="A32" s="6" t="s">
        <v>145</v>
      </c>
      <c r="B32" s="2" t="s">
        <v>146</v>
      </c>
      <c r="C32" s="2" t="s">
        <v>147</v>
      </c>
      <c r="D32" s="2" t="s">
        <v>148</v>
      </c>
      <c r="E32" t="s">
        <v>149</v>
      </c>
    </row>
    <row r="33" spans="1:5" ht="15">
      <c r="A33" s="6" t="s">
        <v>150</v>
      </c>
      <c r="B33" s="2" t="s">
        <v>151</v>
      </c>
      <c r="C33" s="2" t="s">
        <v>147</v>
      </c>
      <c r="D33" s="2" t="s">
        <v>148</v>
      </c>
      <c r="E33" t="s">
        <v>152</v>
      </c>
    </row>
    <row r="34" spans="1:5" ht="15">
      <c r="A34" s="6" t="s">
        <v>153</v>
      </c>
      <c r="B34" s="2" t="s">
        <v>154</v>
      </c>
      <c r="C34" s="2" t="s">
        <v>155</v>
      </c>
      <c r="D34" s="2" t="s">
        <v>156</v>
      </c>
      <c r="E34" s="9" t="s">
        <v>157</v>
      </c>
    </row>
    <row r="35" spans="1:5" ht="15">
      <c r="A35" s="6" t="s">
        <v>158</v>
      </c>
      <c r="B35" s="2" t="s">
        <v>158</v>
      </c>
      <c r="C35" s="2" t="s">
        <v>159</v>
      </c>
      <c r="D35" s="2" t="s">
        <v>158</v>
      </c>
      <c r="E35" t="s">
        <v>158</v>
      </c>
    </row>
    <row r="36" spans="1:5" ht="15">
      <c r="A36" s="1" t="s">
        <v>160</v>
      </c>
      <c r="B36" s="2" t="s">
        <v>161</v>
      </c>
      <c r="C36" s="2" t="s">
        <v>161</v>
      </c>
      <c r="D36" s="2" t="s">
        <v>160</v>
      </c>
      <c r="E36" t="s">
        <v>161</v>
      </c>
    </row>
    <row r="37" spans="1:5" ht="15">
      <c r="A37" s="6" t="s">
        <v>162</v>
      </c>
      <c r="B37" s="2" t="s">
        <v>163</v>
      </c>
      <c r="C37" s="2" t="s">
        <v>164</v>
      </c>
      <c r="D37" s="2" t="s">
        <v>165</v>
      </c>
      <c r="E37" s="9" t="s">
        <v>166</v>
      </c>
    </row>
    <row r="38" spans="1:5" ht="30">
      <c r="A38" s="6" t="s">
        <v>167</v>
      </c>
      <c r="B38" s="2" t="s">
        <v>168</v>
      </c>
      <c r="C38" s="2" t="s">
        <v>169</v>
      </c>
      <c r="D38" s="2" t="s">
        <v>170</v>
      </c>
      <c r="E38" s="9" t="s">
        <v>171</v>
      </c>
    </row>
    <row r="39" spans="1:5" ht="15">
      <c r="A39" s="6" t="s">
        <v>172</v>
      </c>
      <c r="B39" s="7" t="s">
        <v>173</v>
      </c>
      <c r="C39" s="8" t="s">
        <v>174</v>
      </c>
      <c r="D39" s="2" t="s">
        <v>175</v>
      </c>
      <c r="E39" s="9" t="s">
        <v>176</v>
      </c>
    </row>
    <row r="40" spans="1:5" ht="15">
      <c r="A40" s="6" t="s">
        <v>177</v>
      </c>
      <c r="B40" s="7" t="s">
        <v>178</v>
      </c>
      <c r="C40" s="2" t="s">
        <v>179</v>
      </c>
      <c r="D40" s="2" t="s">
        <v>180</v>
      </c>
      <c r="E40" t="s">
        <v>181</v>
      </c>
    </row>
    <row r="41" spans="1:5" ht="15">
      <c r="A41" s="6" t="s">
        <v>182</v>
      </c>
      <c r="B41" s="8" t="s">
        <v>183</v>
      </c>
      <c r="C41" s="2" t="s">
        <v>184</v>
      </c>
      <c r="D41" s="2" t="s">
        <v>182</v>
      </c>
      <c r="E41" t="s">
        <v>185</v>
      </c>
    </row>
    <row r="42" spans="1:5" ht="30">
      <c r="A42" s="6" t="s">
        <v>186</v>
      </c>
      <c r="B42" s="2" t="s">
        <v>187</v>
      </c>
      <c r="C42" s="2" t="s">
        <v>188</v>
      </c>
      <c r="D42" s="2" t="s">
        <v>189</v>
      </c>
      <c r="E42" s="9" t="s">
        <v>190</v>
      </c>
    </row>
    <row r="43" spans="1:5" ht="15">
      <c r="A43" s="6" t="s">
        <v>191</v>
      </c>
      <c r="B43" s="7" t="s">
        <v>192</v>
      </c>
      <c r="C43" s="2" t="s">
        <v>193</v>
      </c>
      <c r="D43" s="7" t="s">
        <v>194</v>
      </c>
      <c r="E43" t="s">
        <v>195</v>
      </c>
    </row>
    <row r="44" spans="1:5" ht="15">
      <c r="A44" s="6" t="s">
        <v>196</v>
      </c>
      <c r="B44" s="2" t="s">
        <v>197</v>
      </c>
      <c r="C44" s="2" t="s">
        <v>198</v>
      </c>
      <c r="D44" s="2" t="s">
        <v>199</v>
      </c>
      <c r="E44" s="9" t="s">
        <v>200</v>
      </c>
    </row>
    <row r="45" spans="1:5" ht="15">
      <c r="A45" s="6" t="s">
        <v>201</v>
      </c>
      <c r="B45" s="2" t="s">
        <v>202</v>
      </c>
      <c r="C45" s="2" t="s">
        <v>203</v>
      </c>
      <c r="D45" s="2" t="s">
        <v>204</v>
      </c>
      <c r="E45" s="9" t="s">
        <v>205</v>
      </c>
    </row>
    <row r="46" spans="1:5" ht="15">
      <c r="A46" s="6" t="s">
        <v>206</v>
      </c>
      <c r="B46" s="2" t="s">
        <v>207</v>
      </c>
      <c r="C46" s="2" t="s">
        <v>208</v>
      </c>
      <c r="D46" s="2" t="s">
        <v>209</v>
      </c>
      <c r="E46" s="9" t="s">
        <v>210</v>
      </c>
    </row>
    <row r="47" spans="1:5" ht="30">
      <c r="A47" s="10" t="s">
        <v>211</v>
      </c>
      <c r="B47" s="2" t="s">
        <v>212</v>
      </c>
      <c r="C47" s="2" t="s">
        <v>213</v>
      </c>
      <c r="D47" s="2" t="s">
        <v>214</v>
      </c>
      <c r="E47" s="9" t="s">
        <v>215</v>
      </c>
    </row>
    <row r="48" spans="1:5" ht="30">
      <c r="A48" s="10" t="s">
        <v>216</v>
      </c>
      <c r="B48" s="2" t="s">
        <v>217</v>
      </c>
      <c r="C48" s="2" t="s">
        <v>218</v>
      </c>
      <c r="D48" s="2" t="s">
        <v>219</v>
      </c>
      <c r="E48" s="9" t="s">
        <v>220</v>
      </c>
    </row>
    <row r="49" spans="1:5" ht="15">
      <c r="A49" s="1" t="s">
        <v>221</v>
      </c>
      <c r="B49" s="2" t="s">
        <v>221</v>
      </c>
      <c r="C49" s="2" t="s">
        <v>222</v>
      </c>
      <c r="D49" s="2" t="s">
        <v>223</v>
      </c>
      <c r="E49" s="9" t="s">
        <v>224</v>
      </c>
    </row>
    <row r="50" spans="1:5" ht="60">
      <c r="A50" s="6" t="s">
        <v>225</v>
      </c>
      <c r="B50" s="11" t="s">
        <v>226</v>
      </c>
      <c r="C50" s="12"/>
      <c r="D50" s="12" t="s">
        <v>227</v>
      </c>
      <c r="E50" s="9" t="s">
        <v>228</v>
      </c>
    </row>
    <row r="51" spans="1:5" ht="15">
      <c r="A51" s="6" t="s">
        <v>229</v>
      </c>
      <c r="B51" s="2" t="s">
        <v>230</v>
      </c>
      <c r="C51" s="2" t="s">
        <v>231</v>
      </c>
      <c r="D51" s="2" t="s">
        <v>232</v>
      </c>
      <c r="E51" t="s">
        <v>233</v>
      </c>
    </row>
    <row r="52" spans="1:5" ht="15">
      <c r="A52" s="6" t="s">
        <v>234</v>
      </c>
      <c r="B52" s="2" t="s">
        <v>235</v>
      </c>
      <c r="C52" s="2" t="s">
        <v>236</v>
      </c>
      <c r="D52" s="2" t="s">
        <v>237</v>
      </c>
      <c r="E52" t="s">
        <v>238</v>
      </c>
    </row>
    <row r="53" spans="1:5" ht="15">
      <c r="A53" s="10" t="s">
        <v>239</v>
      </c>
      <c r="B53" s="2" t="s">
        <v>240</v>
      </c>
      <c r="C53" s="2" t="s">
        <v>241</v>
      </c>
      <c r="D53" s="2" t="s">
        <v>242</v>
      </c>
      <c r="E53" s="9" t="s">
        <v>243</v>
      </c>
    </row>
    <row r="54" spans="1:5" ht="15">
      <c r="A54" s="6" t="s">
        <v>244</v>
      </c>
      <c r="B54" s="7" t="s">
        <v>245</v>
      </c>
      <c r="C54" s="8" t="s">
        <v>246</v>
      </c>
      <c r="D54" s="2" t="s">
        <v>247</v>
      </c>
      <c r="E54" t="s">
        <v>248</v>
      </c>
    </row>
    <row r="55" spans="1:5" ht="15">
      <c r="A55" s="6" t="s">
        <v>249</v>
      </c>
      <c r="B55" s="2" t="s">
        <v>250</v>
      </c>
      <c r="C55" s="2" t="s">
        <v>251</v>
      </c>
      <c r="D55" s="2" t="s">
        <v>252</v>
      </c>
      <c r="E55" s="9" t="s">
        <v>253</v>
      </c>
    </row>
    <row r="56" spans="1:5" ht="15">
      <c r="A56" s="6" t="s">
        <v>254</v>
      </c>
      <c r="B56" s="2" t="s">
        <v>255</v>
      </c>
      <c r="C56" s="2" t="s">
        <v>256</v>
      </c>
      <c r="D56" s="2" t="s">
        <v>257</v>
      </c>
      <c r="E56" t="s">
        <v>258</v>
      </c>
    </row>
    <row r="57" spans="1:5" ht="30">
      <c r="A57" s="10" t="s">
        <v>259</v>
      </c>
      <c r="B57" s="2" t="s">
        <v>260</v>
      </c>
      <c r="C57" s="2" t="s">
        <v>261</v>
      </c>
      <c r="D57" s="2" t="s">
        <v>262</v>
      </c>
      <c r="E57" s="9" t="s">
        <v>263</v>
      </c>
    </row>
    <row r="58" spans="1:5" ht="30">
      <c r="A58" s="10" t="s">
        <v>264</v>
      </c>
      <c r="B58" s="2" t="s">
        <v>265</v>
      </c>
      <c r="C58" s="2" t="s">
        <v>266</v>
      </c>
      <c r="D58" s="2" t="s">
        <v>267</v>
      </c>
      <c r="E58" s="9" t="s">
        <v>268</v>
      </c>
    </row>
    <row r="59" spans="1:5" ht="15">
      <c r="A59" s="1" t="s">
        <v>269</v>
      </c>
      <c r="B59" s="2" t="s">
        <v>270</v>
      </c>
      <c r="C59" s="2" t="s">
        <v>271</v>
      </c>
      <c r="D59" s="2" t="s">
        <v>272</v>
      </c>
      <c r="E59" t="s">
        <v>273</v>
      </c>
    </row>
    <row r="60" spans="1:5" ht="15">
      <c r="A60" s="1" t="s">
        <v>274</v>
      </c>
      <c r="B60" s="2" t="s">
        <v>275</v>
      </c>
      <c r="C60" s="2" t="s">
        <v>276</v>
      </c>
      <c r="D60" s="2" t="s">
        <v>277</v>
      </c>
      <c r="E60" t="s">
        <v>278</v>
      </c>
    </row>
    <row r="61" spans="1:5" ht="15">
      <c r="A61" s="6" t="s">
        <v>279</v>
      </c>
      <c r="B61" s="2" t="s">
        <v>280</v>
      </c>
      <c r="C61" s="2" t="s">
        <v>281</v>
      </c>
      <c r="D61" s="2" t="s">
        <v>282</v>
      </c>
      <c r="E61" s="9" t="s">
        <v>283</v>
      </c>
    </row>
    <row r="62" spans="1:5" ht="15">
      <c r="A62" s="6" t="s">
        <v>284</v>
      </c>
      <c r="B62" s="2" t="s">
        <v>285</v>
      </c>
      <c r="C62" s="2" t="s">
        <v>286</v>
      </c>
      <c r="D62" s="2" t="s">
        <v>287</v>
      </c>
      <c r="E62" t="s">
        <v>288</v>
      </c>
    </row>
    <row r="63" spans="1:7" ht="15">
      <c r="A63" s="1" t="s">
        <v>289</v>
      </c>
      <c r="B63" s="2" t="s">
        <v>290</v>
      </c>
      <c r="C63" s="2" t="s">
        <v>291</v>
      </c>
      <c r="D63" s="2" t="s">
        <v>292</v>
      </c>
      <c r="E63" t="s">
        <v>293</v>
      </c>
      <c r="G63" s="13"/>
    </row>
    <row r="64" spans="1:5" ht="15">
      <c r="A64" s="1" t="s">
        <v>294</v>
      </c>
      <c r="B64" s="2" t="s">
        <v>295</v>
      </c>
      <c r="C64" s="2" t="s">
        <v>296</v>
      </c>
      <c r="D64" s="2" t="s">
        <v>297</v>
      </c>
      <c r="E64" t="s">
        <v>298</v>
      </c>
    </row>
    <row r="65" spans="1:5" ht="15">
      <c r="A65" s="1" t="s">
        <v>299</v>
      </c>
      <c r="B65" s="2" t="s">
        <v>300</v>
      </c>
      <c r="C65" s="2" t="s">
        <v>299</v>
      </c>
      <c r="D65" s="2" t="s">
        <v>301</v>
      </c>
      <c r="E65" t="s">
        <v>299</v>
      </c>
    </row>
    <row r="66" spans="1:5" ht="15">
      <c r="A66" s="1" t="s">
        <v>302</v>
      </c>
      <c r="B66" s="2" t="s">
        <v>303</v>
      </c>
      <c r="C66" s="2" t="s">
        <v>304</v>
      </c>
      <c r="D66" s="2" t="s">
        <v>305</v>
      </c>
      <c r="E66" t="s">
        <v>306</v>
      </c>
    </row>
    <row r="67" spans="1:5" ht="15">
      <c r="A67" s="1" t="s">
        <v>307</v>
      </c>
      <c r="B67" s="2" t="s">
        <v>308</v>
      </c>
      <c r="C67" s="2" t="s">
        <v>309</v>
      </c>
      <c r="D67" s="2" t="s">
        <v>310</v>
      </c>
      <c r="E67" t="s">
        <v>311</v>
      </c>
    </row>
    <row r="68" spans="1:5" ht="15">
      <c r="A68" s="6" t="s">
        <v>312</v>
      </c>
      <c r="B68" s="7" t="s">
        <v>313</v>
      </c>
      <c r="C68" s="2" t="s">
        <v>314</v>
      </c>
      <c r="D68" s="2" t="s">
        <v>315</v>
      </c>
      <c r="E68" t="s">
        <v>316</v>
      </c>
    </row>
    <row r="69" spans="1:5" ht="15">
      <c r="A69" s="6" t="s">
        <v>317</v>
      </c>
      <c r="B69" s="2" t="s">
        <v>318</v>
      </c>
      <c r="C69" s="2" t="s">
        <v>319</v>
      </c>
      <c r="D69" s="2" t="s">
        <v>320</v>
      </c>
      <c r="E69" t="s">
        <v>321</v>
      </c>
    </row>
    <row r="70" spans="1:5" ht="15">
      <c r="A70" s="6" t="s">
        <v>322</v>
      </c>
      <c r="B70" s="2" t="s">
        <v>323</v>
      </c>
      <c r="C70" s="2" t="s">
        <v>324</v>
      </c>
      <c r="D70" s="2" t="s">
        <v>325</v>
      </c>
      <c r="E70" t="s">
        <v>326</v>
      </c>
    </row>
    <row r="71" spans="1:5" ht="15">
      <c r="A71" s="1" t="s">
        <v>327</v>
      </c>
      <c r="B71" s="2" t="s">
        <v>328</v>
      </c>
      <c r="C71" s="2" t="s">
        <v>329</v>
      </c>
      <c r="D71" s="2" t="s">
        <v>330</v>
      </c>
      <c r="E71" t="s">
        <v>331</v>
      </c>
    </row>
    <row r="72" spans="1:13" ht="15">
      <c r="A72" s="6" t="s">
        <v>332</v>
      </c>
      <c r="B72" s="2" t="s">
        <v>333</v>
      </c>
      <c r="C72" s="2" t="s">
        <v>334</v>
      </c>
      <c r="D72" s="2" t="s">
        <v>335</v>
      </c>
      <c r="E72" s="9" t="s">
        <v>336</v>
      </c>
      <c r="F72" s="12"/>
      <c r="G72" s="12"/>
      <c r="H72" s="12"/>
      <c r="I72" s="12"/>
      <c r="J72" s="12"/>
      <c r="K72" s="12"/>
      <c r="L72" s="12"/>
      <c r="M72" s="12"/>
    </row>
    <row r="73" spans="1:5" ht="15">
      <c r="A73" s="1" t="s">
        <v>337</v>
      </c>
      <c r="B73" s="2" t="s">
        <v>338</v>
      </c>
      <c r="C73" s="2" t="s">
        <v>339</v>
      </c>
      <c r="D73" s="2" t="s">
        <v>340</v>
      </c>
      <c r="E73" t="s">
        <v>341</v>
      </c>
    </row>
    <row r="74" spans="1:5" ht="30">
      <c r="A74" s="6" t="s">
        <v>342</v>
      </c>
      <c r="B74" s="7" t="s">
        <v>343</v>
      </c>
      <c r="C74" s="2" t="s">
        <v>344</v>
      </c>
      <c r="D74" s="2" t="s">
        <v>345</v>
      </c>
      <c r="E74" t="s">
        <v>346</v>
      </c>
    </row>
    <row r="75" spans="1:5" ht="15">
      <c r="A75" s="6" t="s">
        <v>347</v>
      </c>
      <c r="B75" s="2" t="s">
        <v>348</v>
      </c>
      <c r="C75" s="2" t="s">
        <v>349</v>
      </c>
      <c r="D75" s="2" t="s">
        <v>350</v>
      </c>
      <c r="E75" t="s">
        <v>351</v>
      </c>
    </row>
    <row r="76" spans="1:5" ht="15">
      <c r="A76" s="1" t="s">
        <v>352</v>
      </c>
      <c r="B76" s="2" t="s">
        <v>353</v>
      </c>
      <c r="C76" s="2" t="s">
        <v>354</v>
      </c>
      <c r="D76" s="2" t="s">
        <v>355</v>
      </c>
      <c r="E76" t="s">
        <v>356</v>
      </c>
    </row>
    <row r="77" spans="1:5" ht="15">
      <c r="A77" s="6" t="s">
        <v>357</v>
      </c>
      <c r="B77" s="2" t="s">
        <v>358</v>
      </c>
      <c r="C77" s="2" t="s">
        <v>359</v>
      </c>
      <c r="D77" s="2" t="s">
        <v>360</v>
      </c>
      <c r="E77" s="9" t="s">
        <v>361</v>
      </c>
    </row>
    <row r="78" spans="1:5" ht="15">
      <c r="A78" s="6" t="s">
        <v>362</v>
      </c>
      <c r="B78" s="2" t="s">
        <v>363</v>
      </c>
      <c r="C78" s="2" t="s">
        <v>364</v>
      </c>
      <c r="D78" s="2" t="s">
        <v>365</v>
      </c>
      <c r="E78" s="9" t="s">
        <v>366</v>
      </c>
    </row>
    <row r="79" spans="1:5" ht="30">
      <c r="A79" s="6" t="s">
        <v>367</v>
      </c>
      <c r="B79" s="2" t="s">
        <v>368</v>
      </c>
      <c r="C79" s="2" t="s">
        <v>369</v>
      </c>
      <c r="D79" s="2" t="s">
        <v>370</v>
      </c>
      <c r="E79" s="9" t="s">
        <v>371</v>
      </c>
    </row>
    <row r="80" spans="1:5" ht="15">
      <c r="A80" s="6" t="s">
        <v>372</v>
      </c>
      <c r="B80" s="2" t="s">
        <v>373</v>
      </c>
      <c r="C80" s="2" t="s">
        <v>374</v>
      </c>
      <c r="D80" s="2" t="s">
        <v>375</v>
      </c>
      <c r="E80" t="s">
        <v>376</v>
      </c>
    </row>
    <row r="81" spans="1:5" ht="15">
      <c r="A81" s="1" t="s">
        <v>377</v>
      </c>
      <c r="B81" s="2" t="s">
        <v>378</v>
      </c>
      <c r="C81" s="2" t="s">
        <v>379</v>
      </c>
      <c r="D81" s="2" t="s">
        <v>380</v>
      </c>
      <c r="E81" t="s">
        <v>381</v>
      </c>
    </row>
    <row r="82" spans="1:5" ht="15">
      <c r="A82" s="1" t="s">
        <v>382</v>
      </c>
      <c r="B82" s="2" t="s">
        <v>383</v>
      </c>
      <c r="C82" s="2" t="s">
        <v>384</v>
      </c>
      <c r="D82" s="2" t="s">
        <v>385</v>
      </c>
      <c r="E82" t="s">
        <v>386</v>
      </c>
    </row>
    <row r="83" spans="1:5" ht="15">
      <c r="A83" s="6" t="s">
        <v>387</v>
      </c>
      <c r="B83" s="2" t="s">
        <v>388</v>
      </c>
      <c r="C83" s="2" t="s">
        <v>389</v>
      </c>
      <c r="D83" s="2" t="s">
        <v>390</v>
      </c>
      <c r="E83" t="s">
        <v>391</v>
      </c>
    </row>
    <row r="84" spans="1:5" ht="15">
      <c r="A84" s="6" t="s">
        <v>392</v>
      </c>
      <c r="B84" s="2" t="s">
        <v>393</v>
      </c>
      <c r="C84" s="2" t="s">
        <v>394</v>
      </c>
      <c r="D84" s="2" t="s">
        <v>395</v>
      </c>
      <c r="E84" s="9" t="s">
        <v>396</v>
      </c>
    </row>
    <row r="85" spans="1:5" ht="15">
      <c r="A85" s="6" t="s">
        <v>397</v>
      </c>
      <c r="B85" s="2" t="s">
        <v>398</v>
      </c>
      <c r="C85" s="2" t="s">
        <v>399</v>
      </c>
      <c r="D85" s="2" t="s">
        <v>400</v>
      </c>
      <c r="E85" t="s">
        <v>401</v>
      </c>
    </row>
    <row r="86" spans="1:5" ht="15">
      <c r="A86" s="1" t="s">
        <v>402</v>
      </c>
      <c r="B86" s="2" t="s">
        <v>403</v>
      </c>
      <c r="C86" s="2" t="s">
        <v>404</v>
      </c>
      <c r="D86" s="2" t="s">
        <v>405</v>
      </c>
      <c r="E86" t="s">
        <v>406</v>
      </c>
    </row>
    <row r="87" spans="1:5" ht="15">
      <c r="A87" s="6" t="s">
        <v>407</v>
      </c>
      <c r="B87" s="2" t="s">
        <v>408</v>
      </c>
      <c r="C87" s="2" t="s">
        <v>409</v>
      </c>
      <c r="D87" s="2" t="s">
        <v>407</v>
      </c>
      <c r="E87" t="s">
        <v>410</v>
      </c>
    </row>
    <row r="88" spans="1:5" ht="15">
      <c r="A88" s="6" t="s">
        <v>411</v>
      </c>
      <c r="B88" s="2" t="s">
        <v>412</v>
      </c>
      <c r="C88" s="2" t="s">
        <v>411</v>
      </c>
      <c r="D88" s="2" t="s">
        <v>413</v>
      </c>
      <c r="E88" t="s">
        <v>414</v>
      </c>
    </row>
    <row r="89" spans="1:5" ht="15">
      <c r="A89" s="6" t="s">
        <v>415</v>
      </c>
      <c r="B89" s="2" t="s">
        <v>416</v>
      </c>
      <c r="C89" s="2" t="s">
        <v>417</v>
      </c>
      <c r="D89" s="2" t="s">
        <v>418</v>
      </c>
      <c r="E89" s="9" t="s">
        <v>419</v>
      </c>
    </row>
    <row r="90" spans="1:5" ht="15">
      <c r="A90" s="1" t="s">
        <v>420</v>
      </c>
      <c r="B90" s="2" t="s">
        <v>421</v>
      </c>
      <c r="C90" s="2" t="s">
        <v>422</v>
      </c>
      <c r="D90" s="2" t="s">
        <v>423</v>
      </c>
      <c r="E90" t="s">
        <v>424</v>
      </c>
    </row>
    <row r="91" spans="1:5" ht="15">
      <c r="A91" s="1" t="s">
        <v>425</v>
      </c>
      <c r="B91" s="2" t="s">
        <v>426</v>
      </c>
      <c r="C91" s="2" t="s">
        <v>427</v>
      </c>
      <c r="D91" s="2" t="s">
        <v>428</v>
      </c>
      <c r="E91" t="s">
        <v>429</v>
      </c>
    </row>
    <row r="92" spans="1:5" ht="30">
      <c r="A92" s="6" t="s">
        <v>430</v>
      </c>
      <c r="B92" s="2" t="s">
        <v>431</v>
      </c>
      <c r="C92" s="2" t="s">
        <v>432</v>
      </c>
      <c r="D92" s="2" t="s">
        <v>433</v>
      </c>
      <c r="E92" s="9" t="s">
        <v>434</v>
      </c>
    </row>
    <row r="93" spans="1:5" ht="15">
      <c r="A93" s="1" t="s">
        <v>435</v>
      </c>
      <c r="B93" s="2" t="s">
        <v>436</v>
      </c>
      <c r="C93" s="2" t="s">
        <v>437</v>
      </c>
      <c r="D93" s="2" t="s">
        <v>438</v>
      </c>
      <c r="E93" t="s">
        <v>439</v>
      </c>
    </row>
    <row r="94" spans="1:5" ht="15">
      <c r="A94" s="1" t="s">
        <v>440</v>
      </c>
      <c r="B94" s="2" t="s">
        <v>441</v>
      </c>
      <c r="C94" s="2" t="s">
        <v>442</v>
      </c>
      <c r="D94" s="2" t="s">
        <v>443</v>
      </c>
      <c r="E94" s="9" t="s">
        <v>444</v>
      </c>
    </row>
    <row r="95" spans="1:5" ht="15">
      <c r="A95" s="1" t="s">
        <v>445</v>
      </c>
      <c r="B95" s="2" t="s">
        <v>446</v>
      </c>
      <c r="C95" s="2" t="s">
        <v>447</v>
      </c>
      <c r="D95" s="2" t="s">
        <v>448</v>
      </c>
      <c r="E95" t="s">
        <v>449</v>
      </c>
    </row>
    <row r="96" spans="1:5" ht="15">
      <c r="A96" s="1" t="s">
        <v>450</v>
      </c>
      <c r="B96" s="2" t="s">
        <v>451</v>
      </c>
      <c r="C96" s="2" t="s">
        <v>452</v>
      </c>
      <c r="D96" s="2" t="s">
        <v>453</v>
      </c>
      <c r="E96" t="s">
        <v>454</v>
      </c>
    </row>
    <row r="97" spans="1:5" ht="15">
      <c r="A97" s="6" t="s">
        <v>455</v>
      </c>
      <c r="B97" s="2" t="s">
        <v>455</v>
      </c>
      <c r="C97" s="2" t="s">
        <v>455</v>
      </c>
      <c r="D97" s="2" t="s">
        <v>456</v>
      </c>
      <c r="E97" t="s">
        <v>457</v>
      </c>
    </row>
    <row r="98" spans="1:5" ht="15">
      <c r="A98" s="1" t="s">
        <v>458</v>
      </c>
      <c r="B98" s="2" t="s">
        <v>458</v>
      </c>
      <c r="C98" s="2" t="s">
        <v>459</v>
      </c>
      <c r="D98" s="2" t="s">
        <v>460</v>
      </c>
      <c r="E98" t="s">
        <v>459</v>
      </c>
    </row>
    <row r="99" spans="1:5" ht="15">
      <c r="A99" s="6" t="s">
        <v>461</v>
      </c>
      <c r="B99" s="2" t="s">
        <v>462</v>
      </c>
      <c r="C99" s="2" t="s">
        <v>463</v>
      </c>
      <c r="D99" s="2" t="s">
        <v>464</v>
      </c>
      <c r="E99" s="9" t="s">
        <v>465</v>
      </c>
    </row>
    <row r="100" spans="1:5" ht="15">
      <c r="A100" s="6" t="s">
        <v>466</v>
      </c>
      <c r="B100" s="2" t="s">
        <v>467</v>
      </c>
      <c r="C100" s="2" t="s">
        <v>468</v>
      </c>
      <c r="D100" s="2" t="s">
        <v>469</v>
      </c>
      <c r="E100" t="s">
        <v>470</v>
      </c>
    </row>
    <row r="101" spans="1:5" ht="15">
      <c r="A101" s="1" t="s">
        <v>471</v>
      </c>
      <c r="B101" s="2" t="s">
        <v>472</v>
      </c>
      <c r="C101" s="2" t="s">
        <v>473</v>
      </c>
      <c r="D101" s="2" t="s">
        <v>474</v>
      </c>
      <c r="E101" t="s">
        <v>475</v>
      </c>
    </row>
    <row r="102" spans="1:5" ht="15">
      <c r="A102" s="6" t="s">
        <v>476</v>
      </c>
      <c r="B102" s="2" t="s">
        <v>477</v>
      </c>
      <c r="C102" s="2" t="s">
        <v>478</v>
      </c>
      <c r="D102" s="2" t="s">
        <v>479</v>
      </c>
      <c r="E102" t="s">
        <v>480</v>
      </c>
    </row>
    <row r="103" spans="1:5" ht="15">
      <c r="A103" s="1" t="s">
        <v>481</v>
      </c>
      <c r="B103" s="2" t="s">
        <v>482</v>
      </c>
      <c r="C103" s="2" t="s">
        <v>483</v>
      </c>
      <c r="D103" s="2" t="s">
        <v>484</v>
      </c>
      <c r="E103" t="s">
        <v>483</v>
      </c>
    </row>
    <row r="104" spans="1:5" ht="15">
      <c r="A104" s="1" t="s">
        <v>485</v>
      </c>
      <c r="B104" s="2" t="s">
        <v>486</v>
      </c>
      <c r="C104" s="2" t="s">
        <v>487</v>
      </c>
      <c r="D104" s="2" t="s">
        <v>488</v>
      </c>
      <c r="E104" t="s">
        <v>489</v>
      </c>
    </row>
    <row r="105" spans="1:5" ht="30">
      <c r="A105" s="1" t="s">
        <v>490</v>
      </c>
      <c r="B105" s="2" t="s">
        <v>491</v>
      </c>
      <c r="C105" s="2" t="s">
        <v>492</v>
      </c>
      <c r="D105" s="2" t="s">
        <v>493</v>
      </c>
      <c r="E105" s="9" t="s">
        <v>494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IS63"/>
  <sheetViews>
    <sheetView showGridLines="0" tabSelected="1" zoomScale="75" zoomScaleNormal="75" zoomScalePageLayoutView="0" workbookViewId="0" topLeftCell="A1">
      <selection activeCell="C23" sqref="C23"/>
    </sheetView>
  </sheetViews>
  <sheetFormatPr defaultColWidth="0" defaultRowHeight="12.75" customHeight="1" zeroHeight="1"/>
  <cols>
    <col min="1" max="1" width="2.57421875" style="9" customWidth="1"/>
    <col min="2" max="2" width="1.421875" style="14" customWidth="1"/>
    <col min="3" max="3" width="18.7109375" style="14" customWidth="1"/>
    <col min="4" max="4" width="35.140625" style="14" customWidth="1"/>
    <col min="5" max="5" width="6.140625" style="15" customWidth="1"/>
    <col min="6" max="6" width="12.421875" style="15" customWidth="1"/>
    <col min="7" max="7" width="13.140625" style="15" customWidth="1"/>
    <col min="8" max="8" width="15.7109375" style="15" customWidth="1"/>
    <col min="9" max="9" width="17.7109375" style="15" customWidth="1"/>
    <col min="10" max="10" width="28.28125" style="15" customWidth="1"/>
    <col min="11" max="11" width="17.7109375" style="15" customWidth="1"/>
    <col min="12" max="12" width="13.28125" style="15" customWidth="1"/>
    <col min="13" max="13" width="11.00390625" style="14" customWidth="1"/>
    <col min="14" max="14" width="10.28125" style="14" customWidth="1"/>
    <col min="15" max="15" width="8.57421875" style="16" customWidth="1"/>
    <col min="16" max="16" width="18.7109375" style="14" customWidth="1"/>
    <col min="17" max="17" width="1.421875" style="14" customWidth="1"/>
    <col min="18" max="18" width="2.57421875" style="14" customWidth="1"/>
    <col min="19" max="16384" width="0" style="14" hidden="1" customWidth="1"/>
  </cols>
  <sheetData>
    <row r="1" spans="1:21" s="9" customFormat="1" ht="13.5" customHeight="1">
      <c r="A1" s="17"/>
      <c r="B1" s="17"/>
      <c r="C1" s="18"/>
      <c r="D1" s="18"/>
      <c r="E1" s="19"/>
      <c r="F1" s="18"/>
      <c r="G1" s="18"/>
      <c r="H1" s="18"/>
      <c r="I1" s="18"/>
      <c r="J1" s="19"/>
      <c r="K1" s="18"/>
      <c r="L1" s="18"/>
      <c r="M1" s="18"/>
      <c r="N1" s="18"/>
      <c r="O1" s="19"/>
      <c r="P1" s="18"/>
      <c r="Q1" s="17"/>
      <c r="R1" s="17"/>
      <c r="S1" s="17"/>
      <c r="T1" s="17"/>
      <c r="U1" s="17"/>
    </row>
    <row r="2" spans="1:21" ht="7.5" customHeight="1">
      <c r="A2" s="17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17"/>
      <c r="S2" s="17"/>
      <c r="T2" s="17"/>
      <c r="U2" s="17"/>
    </row>
    <row r="3" spans="1:21" ht="5.25" customHeight="1">
      <c r="A3" s="17"/>
      <c r="B3" s="20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0"/>
      <c r="R3" s="17"/>
      <c r="S3" s="17"/>
      <c r="T3" s="17"/>
      <c r="U3" s="17"/>
    </row>
    <row r="4" spans="1:21" ht="15" customHeight="1">
      <c r="A4" s="17"/>
      <c r="B4" s="20"/>
      <c r="C4" s="21"/>
      <c r="D4" s="253" t="str">
        <f ca="1">VLOOKUP("Player information",Zone_Traduction,ref_langue,FALSE)</f>
        <v>Player Information</v>
      </c>
      <c r="E4" s="253"/>
      <c r="F4" s="254"/>
      <c r="G4" s="253" t="str">
        <f ca="1">VLOOKUP("Army information",Zone_Traduction,ref_langue,FALSE)</f>
        <v>Army Information</v>
      </c>
      <c r="H4" s="253"/>
      <c r="I4" s="253"/>
      <c r="J4" s="253"/>
      <c r="K4" s="255"/>
      <c r="L4" s="253" t="str">
        <f ca="1">VLOOKUP("Game information",Zone_Traduction,ref_langue,FALSE)</f>
        <v>Game Information</v>
      </c>
      <c r="M4" s="253"/>
      <c r="N4" s="253"/>
      <c r="O4" s="253"/>
      <c r="Q4" s="20"/>
      <c r="R4" s="17"/>
      <c r="S4" s="17"/>
      <c r="T4" s="17"/>
      <c r="U4" s="17"/>
    </row>
    <row r="5" spans="1:253" ht="18" customHeight="1">
      <c r="A5" s="17"/>
      <c r="B5" s="20"/>
      <c r="C5" s="21"/>
      <c r="D5" s="256" t="str">
        <f ca="1">VLOOKUP("Name and Surname",Zone_Traduction,ref_langue,FALSE)</f>
        <v>Name and Surname</v>
      </c>
      <c r="E5" s="256"/>
      <c r="F5" s="254"/>
      <c r="G5" s="256" t="str">
        <f ca="1">VLOOKUP("Book Name",Zone_Traduction,ref_langue,FALSE)</f>
        <v>Book Name</v>
      </c>
      <c r="H5" s="256"/>
      <c r="I5" s="256"/>
      <c r="J5" s="23" t="str">
        <f ca="1">VLOOKUP("Page Number",Zone_Traduction,ref_langue,FALSE)</f>
        <v>Page Number</v>
      </c>
      <c r="K5" s="255"/>
      <c r="L5" s="257" t="str">
        <f ca="1">VLOOKUP("BG Deployment",Zone_Traduction,ref_langue,FALSE)</f>
        <v>BG Deployment</v>
      </c>
      <c r="M5" s="257"/>
      <c r="N5" s="257"/>
      <c r="O5" s="257"/>
      <c r="Q5" s="20"/>
      <c r="R5" s="9"/>
      <c r="S5"/>
      <c r="T5"/>
      <c r="U5"/>
      <c r="IO5" s="24"/>
      <c r="IP5" s="24"/>
      <c r="IQ5" s="24"/>
      <c r="IR5" s="24"/>
      <c r="IS5" s="24"/>
    </row>
    <row r="6" spans="1:253" ht="15.75" customHeight="1">
      <c r="A6" s="25"/>
      <c r="B6" s="20"/>
      <c r="C6" s="21"/>
      <c r="D6" s="258" t="s">
        <v>495</v>
      </c>
      <c r="E6" s="258"/>
      <c r="F6" s="254"/>
      <c r="G6" s="259" t="s">
        <v>496</v>
      </c>
      <c r="H6" s="259"/>
      <c r="I6" s="259"/>
      <c r="J6" s="26">
        <v>56</v>
      </c>
      <c r="K6" s="255"/>
      <c r="L6" s="260" t="str">
        <f>VLOOKUP(Données!BM7,ordre_de_marche,2)</f>
        <v>4-3-3-3</v>
      </c>
      <c r="M6" s="260"/>
      <c r="N6" s="260"/>
      <c r="O6" s="260"/>
      <c r="Q6" s="20"/>
      <c r="R6" s="27"/>
      <c r="S6" s="28"/>
      <c r="T6"/>
      <c r="U6"/>
      <c r="IO6" s="24"/>
      <c r="IP6" s="24"/>
      <c r="IQ6" s="24"/>
      <c r="IR6" s="24"/>
      <c r="IS6" s="24"/>
    </row>
    <row r="7" spans="1:253" ht="15.75" customHeight="1">
      <c r="A7" s="17"/>
      <c r="B7" s="20"/>
      <c r="C7" s="21"/>
      <c r="D7" s="256" t="str">
        <f ca="1">VLOOKUP("Club",Zone_Traduction,ref_langue,FALSE)</f>
        <v>Club</v>
      </c>
      <c r="E7" s="256"/>
      <c r="F7" s="254"/>
      <c r="G7" s="256" t="str">
        <f ca="1">VLOOKUP("List Name",Zone_Traduction,ref_langue,FALSE)</f>
        <v>List Name</v>
      </c>
      <c r="H7" s="256"/>
      <c r="I7" s="256"/>
      <c r="J7" s="23" t="str">
        <f ca="1">VLOOKUP("Army date",Zone_Traduction,ref_langue,FALSE)</f>
        <v>Army Date</v>
      </c>
      <c r="K7" s="255"/>
      <c r="L7" s="257" t="str">
        <f ca="1">VLOOKUP("Pre Battle Initiative Modifier",Zone_Traduction,ref_langue,FALSE)</f>
        <v>Pre Battle Initiative Modifier</v>
      </c>
      <c r="M7" s="257"/>
      <c r="N7" s="257"/>
      <c r="O7" s="257"/>
      <c r="Q7" s="20"/>
      <c r="R7" s="29"/>
      <c r="S7" s="28"/>
      <c r="T7"/>
      <c r="U7"/>
      <c r="IO7" s="24"/>
      <c r="IP7" s="24"/>
      <c r="IQ7" s="24"/>
      <c r="IR7" s="24"/>
      <c r="IS7" s="24"/>
    </row>
    <row r="8" spans="1:253" ht="15.75" customHeight="1">
      <c r="A8" s="25"/>
      <c r="B8" s="20"/>
      <c r="C8" s="21"/>
      <c r="D8" s="258" t="s">
        <v>497</v>
      </c>
      <c r="E8" s="258"/>
      <c r="F8" s="254"/>
      <c r="G8" s="261" t="str">
        <f>IF($G$6="-","-",VLOOKUP($G$6,Tableau_listes,MATCH($J$6,Colonne_Tableau_listes,0),FALSE))</f>
        <v>Parthian</v>
      </c>
      <c r="H8" s="261"/>
      <c r="I8" s="261"/>
      <c r="J8" s="30"/>
      <c r="K8" s="255"/>
      <c r="L8" s="262">
        <f>Données!$BM$6</f>
        <v>3</v>
      </c>
      <c r="M8" s="262"/>
      <c r="N8" s="262"/>
      <c r="O8" s="262"/>
      <c r="Q8" s="20"/>
      <c r="R8" s="29"/>
      <c r="S8" s="28"/>
      <c r="T8"/>
      <c r="U8"/>
      <c r="IO8" s="24"/>
      <c r="IP8" s="24"/>
      <c r="IQ8" s="24"/>
      <c r="IR8" s="24"/>
      <c r="IS8" s="24"/>
    </row>
    <row r="9" spans="1:253" ht="15.75" customHeight="1">
      <c r="A9" s="17"/>
      <c r="B9" s="20"/>
      <c r="C9" s="21"/>
      <c r="D9" s="256" t="str">
        <f ca="1">VLOOKUP("e-mail",Zone_Traduction,ref_langue,FALSE)</f>
        <v>E-Mail</v>
      </c>
      <c r="E9" s="256"/>
      <c r="F9" s="254"/>
      <c r="G9" s="263" t="str">
        <f ca="1">VLOOKUP("Territory Types",Zone_Traduction,ref_langue,FALSE)</f>
        <v>Territory Types</v>
      </c>
      <c r="H9" s="263"/>
      <c r="I9" s="263"/>
      <c r="J9" s="263"/>
      <c r="K9" s="255"/>
      <c r="L9" s="264" t="str">
        <f ca="1">VLOOKUP("Number of BG",Zone_Traduction,ref_langue,FALSE)</f>
        <v>Number of BG</v>
      </c>
      <c r="M9" s="264"/>
      <c r="N9" s="264"/>
      <c r="O9" s="264"/>
      <c r="Q9" s="20"/>
      <c r="R9" s="27"/>
      <c r="S9"/>
      <c r="T9"/>
      <c r="U9"/>
      <c r="IO9" s="24"/>
      <c r="IP9" s="24"/>
      <c r="IQ9" s="24"/>
      <c r="IR9" s="24"/>
      <c r="IS9" s="24"/>
    </row>
    <row r="10" spans="1:253" ht="15.75" customHeight="1">
      <c r="A10" s="25"/>
      <c r="B10" s="20"/>
      <c r="C10" s="21"/>
      <c r="D10" s="265" t="s">
        <v>498</v>
      </c>
      <c r="E10" s="265"/>
      <c r="F10" s="254"/>
      <c r="G10" s="31" t="s">
        <v>10</v>
      </c>
      <c r="H10" s="31" t="s">
        <v>407</v>
      </c>
      <c r="I10" s="31" t="s">
        <v>499</v>
      </c>
      <c r="J10" s="31" t="s">
        <v>499</v>
      </c>
      <c r="K10" s="255"/>
      <c r="L10" s="266">
        <f>Données!BL7</f>
        <v>13</v>
      </c>
      <c r="M10" s="266"/>
      <c r="N10" s="266"/>
      <c r="O10" s="266"/>
      <c r="Q10" s="20"/>
      <c r="R10" s="27"/>
      <c r="S10"/>
      <c r="T10"/>
      <c r="U10"/>
      <c r="V10" s="14">
        <f>SUM($N$24:$N$62)+SUM(N17:N20)+(3*E20)+W10</f>
        <v>797</v>
      </c>
      <c r="W10" s="14">
        <f ca="1">IF(E17=VLOOKUP("Yes",Zone_Traduction,ref_langue,FALSE),24,0)</f>
        <v>0</v>
      </c>
      <c r="IO10" s="24"/>
      <c r="IP10" s="24"/>
      <c r="IQ10" s="24"/>
      <c r="IR10" s="24"/>
      <c r="IS10" s="24"/>
    </row>
    <row r="11" spans="1:253" ht="18.75" customHeight="1">
      <c r="A11" s="17"/>
      <c r="B11" s="20"/>
      <c r="C11" s="32"/>
      <c r="D11" s="256" t="s">
        <v>500</v>
      </c>
      <c r="E11" s="256"/>
      <c r="F11" s="254"/>
      <c r="G11" s="267" t="str">
        <f ca="1">VLOOKUP("Allies",Zone_Traduction,ref_langue,FALSE)</f>
        <v>Allies</v>
      </c>
      <c r="H11" s="267"/>
      <c r="I11" s="267"/>
      <c r="J11" s="267"/>
      <c r="K11" s="255"/>
      <c r="L11" s="256" t="str">
        <f ca="1">VLOOKUP("Language Option",Zone_Traduction,ref_langue,FALSE)</f>
        <v>Language Option</v>
      </c>
      <c r="M11" s="256"/>
      <c r="N11" s="256"/>
      <c r="O11" s="256"/>
      <c r="Q11" s="20"/>
      <c r="R11" s="27"/>
      <c r="S11"/>
      <c r="T11"/>
      <c r="U11"/>
      <c r="IO11" s="24"/>
      <c r="IP11" s="24"/>
      <c r="IQ11" s="24"/>
      <c r="IR11" s="24"/>
      <c r="IS11" s="24"/>
    </row>
    <row r="12" spans="1:253" ht="15.75" customHeight="1">
      <c r="A12" s="33"/>
      <c r="B12" s="20"/>
      <c r="C12" s="32"/>
      <c r="D12" s="268" t="s">
        <v>501</v>
      </c>
      <c r="E12" s="268"/>
      <c r="F12" s="254"/>
      <c r="G12" s="269" t="s">
        <v>502</v>
      </c>
      <c r="H12" s="269"/>
      <c r="I12" s="269"/>
      <c r="J12" s="269"/>
      <c r="K12" s="255"/>
      <c r="L12" s="270" t="s">
        <v>0</v>
      </c>
      <c r="M12" s="270"/>
      <c r="N12" s="270"/>
      <c r="O12" s="270"/>
      <c r="Q12" s="20"/>
      <c r="R12" s="27"/>
      <c r="S12"/>
      <c r="T12"/>
      <c r="U12"/>
      <c r="IO12" s="24"/>
      <c r="IP12" s="24"/>
      <c r="IQ12" s="24"/>
      <c r="IR12" s="24"/>
      <c r="IS12" s="24"/>
    </row>
    <row r="13" spans="1:253" ht="5.25" customHeight="1">
      <c r="A13" s="33"/>
      <c r="B13" s="20"/>
      <c r="C13" s="33"/>
      <c r="D13" s="33"/>
      <c r="E13" s="34"/>
      <c r="F13" s="35"/>
      <c r="G13" s="35"/>
      <c r="H13" s="35"/>
      <c r="I13" s="34"/>
      <c r="J13" s="27"/>
      <c r="K13" s="36"/>
      <c r="L13" s="36"/>
      <c r="M13" s="37"/>
      <c r="N13" s="37"/>
      <c r="O13" s="27"/>
      <c r="P13" s="38"/>
      <c r="Q13" s="20"/>
      <c r="R13" s="27"/>
      <c r="S13"/>
      <c r="T13"/>
      <c r="U13"/>
      <c r="IO13" s="24"/>
      <c r="IP13" s="24"/>
      <c r="IQ13" s="24"/>
      <c r="IR13" s="24"/>
      <c r="IS13" s="24"/>
    </row>
    <row r="14" spans="1:253" ht="15.75" customHeight="1">
      <c r="A14" s="17"/>
      <c r="B14" s="20"/>
      <c r="C14" s="271" t="s">
        <v>503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0"/>
      <c r="R14"/>
      <c r="S14" s="272"/>
      <c r="T14" s="272"/>
      <c r="U14" s="40"/>
      <c r="V14" s="17"/>
      <c r="W14" s="17"/>
      <c r="X14" s="17"/>
      <c r="Y14" s="17"/>
      <c r="IO14" s="24"/>
      <c r="IP14" s="24"/>
      <c r="IQ14" s="24"/>
      <c r="IR14" s="24"/>
      <c r="IS14" s="24"/>
    </row>
    <row r="15" spans="1:253" ht="5.25" customHeight="1">
      <c r="A15" s="17"/>
      <c r="B15" s="20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0"/>
      <c r="R15"/>
      <c r="S15" s="39"/>
      <c r="T15" s="39"/>
      <c r="U15" s="40"/>
      <c r="V15" s="17"/>
      <c r="W15" s="17"/>
      <c r="X15" s="17"/>
      <c r="Y15" s="17"/>
      <c r="IO15" s="24"/>
      <c r="IP15" s="24"/>
      <c r="IQ15" s="24"/>
      <c r="IR15" s="24"/>
      <c r="IS15" s="24"/>
    </row>
    <row r="16" spans="1:17" s="2" customFormat="1" ht="15.75" customHeight="1">
      <c r="A16" s="7"/>
      <c r="B16" s="20"/>
      <c r="C16" s="274"/>
      <c r="D16" s="274"/>
      <c r="E16" s="264" t="str">
        <f ca="1">VLOOKUP("Fortified Camp",Zone_Traduction,ref_langue,FALSE)</f>
        <v>Fortified Camp</v>
      </c>
      <c r="F16" s="264"/>
      <c r="G16" s="264"/>
      <c r="H16" s="275" t="str">
        <f ca="1">VLOOKUP("Commander Name",Zone_Traduction,ref_langue,FALSE)</f>
        <v>Commander Name</v>
      </c>
      <c r="I16" s="275"/>
      <c r="J16" s="276" t="str">
        <f ca="1">VLOOKUP("Commander Type",Zone_Traduction,ref_langue,FALSE)</f>
        <v>Commander Type</v>
      </c>
      <c r="K16" s="276"/>
      <c r="L16" s="42" t="str">
        <f ca="1">VLOOKUP("Office",Zone_Traduction,ref_langue,FALSE)</f>
        <v>Office</v>
      </c>
      <c r="M16" s="43" t="str">
        <f ca="1">VLOOKUP("Number",Zone_Traduction,ref_langue,FALSE)</f>
        <v>Number</v>
      </c>
      <c r="N16" s="41" t="str">
        <f ca="1">VLOOKUP("Value",Zone_Traduction,ref_langue,FALSE)</f>
        <v>Value</v>
      </c>
      <c r="O16" s="44"/>
      <c r="P16" s="276" t="s">
        <v>504</v>
      </c>
      <c r="Q16" s="20"/>
    </row>
    <row r="17" spans="1:22" s="2" customFormat="1" ht="15.75" customHeight="1">
      <c r="A17" s="7"/>
      <c r="B17" s="20"/>
      <c r="C17" s="274"/>
      <c r="D17" s="274"/>
      <c r="E17" s="277" t="s">
        <v>299</v>
      </c>
      <c r="F17" s="277"/>
      <c r="G17" s="277"/>
      <c r="H17" s="278"/>
      <c r="I17" s="278"/>
      <c r="J17" s="279" t="s">
        <v>505</v>
      </c>
      <c r="K17" s="279"/>
      <c r="L17" s="45" t="s">
        <v>102</v>
      </c>
      <c r="M17" s="46">
        <v>1</v>
      </c>
      <c r="N17" s="47">
        <f>M17*V17</f>
        <v>50</v>
      </c>
      <c r="O17" s="12"/>
      <c r="P17" s="276"/>
      <c r="Q17" s="20"/>
      <c r="U17" s="14">
        <f>VLOOKUP(J17,Prix_commandant,2)</f>
        <v>50</v>
      </c>
      <c r="V17" s="2">
        <f>IF(L17="Ally",U17-10,U17)</f>
        <v>50</v>
      </c>
    </row>
    <row r="18" spans="1:22" s="2" customFormat="1" ht="15.75" customHeight="1">
      <c r="A18" s="7"/>
      <c r="B18" s="20"/>
      <c r="C18" s="274"/>
      <c r="D18" s="274"/>
      <c r="E18" s="277"/>
      <c r="F18" s="277"/>
      <c r="G18" s="277"/>
      <c r="H18" s="278"/>
      <c r="I18" s="278"/>
      <c r="J18" s="279" t="s">
        <v>506</v>
      </c>
      <c r="K18" s="279"/>
      <c r="L18" s="48" t="s">
        <v>507</v>
      </c>
      <c r="M18" s="49">
        <v>2</v>
      </c>
      <c r="N18" s="47">
        <f>M18*V18</f>
        <v>70</v>
      </c>
      <c r="O18" s="12"/>
      <c r="P18" s="280">
        <f>V10</f>
        <v>797</v>
      </c>
      <c r="Q18" s="20"/>
      <c r="U18" s="14">
        <f>VLOOKUP(J18,Prix_commandant,2)</f>
        <v>35</v>
      </c>
      <c r="V18" s="2">
        <f>IF(L18="Ally",U18-10,U18)</f>
        <v>35</v>
      </c>
    </row>
    <row r="19" spans="1:22" s="2" customFormat="1" ht="15.75" customHeight="1">
      <c r="A19" s="7"/>
      <c r="B19" s="20"/>
      <c r="C19" s="274"/>
      <c r="D19" s="274"/>
      <c r="E19" s="264" t="str">
        <f ca="1">VLOOKUP("Field Fortification total",Zone_Traduction,ref_langue,FALSE)</f>
        <v>Field Fortification Total</v>
      </c>
      <c r="F19" s="264"/>
      <c r="G19" s="264"/>
      <c r="H19" s="278"/>
      <c r="I19" s="278"/>
      <c r="J19" s="279" t="s">
        <v>506</v>
      </c>
      <c r="K19" s="279"/>
      <c r="L19" s="48" t="s">
        <v>508</v>
      </c>
      <c r="M19" s="49">
        <v>1</v>
      </c>
      <c r="N19" s="47">
        <f>M19*V19</f>
        <v>25</v>
      </c>
      <c r="O19" s="12"/>
      <c r="P19" s="280"/>
      <c r="Q19" s="20"/>
      <c r="U19" s="14">
        <f>VLOOKUP(J19,Prix_commandant,2)</f>
        <v>35</v>
      </c>
      <c r="V19" s="2">
        <f>IF(L19="Ally",U19-10,U19)</f>
        <v>25</v>
      </c>
    </row>
    <row r="20" spans="1:22" s="2" customFormat="1" ht="15.75" customHeight="1">
      <c r="A20" s="7"/>
      <c r="B20" s="20"/>
      <c r="C20" s="274"/>
      <c r="D20" s="274"/>
      <c r="E20" s="281">
        <v>0</v>
      </c>
      <c r="F20" s="281"/>
      <c r="G20" s="281"/>
      <c r="H20" s="278"/>
      <c r="I20" s="278"/>
      <c r="J20" s="279" t="s">
        <v>507</v>
      </c>
      <c r="K20" s="279"/>
      <c r="L20" s="48" t="s">
        <v>507</v>
      </c>
      <c r="M20" s="48">
        <v>0</v>
      </c>
      <c r="N20" s="47">
        <f>M20*V20</f>
        <v>0</v>
      </c>
      <c r="O20" s="50"/>
      <c r="P20" s="280"/>
      <c r="Q20" s="20"/>
      <c r="U20" s="14">
        <f>VLOOKUP(J20,Prix_commandant,2)</f>
        <v>0</v>
      </c>
      <c r="V20" s="2">
        <f>IF(L20="Ally",U20-10,U20)</f>
        <v>0</v>
      </c>
    </row>
    <row r="21" spans="1:21" s="2" customFormat="1" ht="5.25" customHeight="1">
      <c r="A21" s="51"/>
      <c r="B21" s="2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20"/>
      <c r="U21" s="14"/>
    </row>
    <row r="22" spans="1:253" ht="15.75" customHeight="1">
      <c r="A22" s="53"/>
      <c r="B22" s="20"/>
      <c r="C22" s="54"/>
      <c r="D22" s="276" t="str">
        <f ca="1">VLOOKUP("Troop Name",Zone_Traduction,ref_langue,FALSE)</f>
        <v>Troop Name</v>
      </c>
      <c r="E22" s="276" t="str">
        <f ca="1">VLOOKUP("Troop type",Zone_Traduction,ref_langue,FALSE)</f>
        <v>Troop Type</v>
      </c>
      <c r="F22" s="276" t="e">
        <f ca="1">VLOOKUP("Troops",Zone_Traduction,ref_langue,FALSE)</f>
        <v>#N/A</v>
      </c>
      <c r="G22" s="276" t="e">
        <f ca="1">VLOOKUP("Troops",Zone_Traduction,ref_langue,FALSE)</f>
        <v>#N/A</v>
      </c>
      <c r="H22" s="276" t="e">
        <f ca="1">VLOOKUP("Troops",Zone_Traduction,ref_langue,FALSE)</f>
        <v>#N/A</v>
      </c>
      <c r="I22" s="276" t="str">
        <f ca="1">VLOOKUP("Capabilities",Zone_Traduction,ref_langue,FALSE)</f>
        <v>Capabilities</v>
      </c>
      <c r="J22" s="276"/>
      <c r="K22" s="276"/>
      <c r="L22" s="276" t="str">
        <f ca="1">VLOOKUP("Cost",Zone_Traduction,ref_langue,FALSE)</f>
        <v>Cost</v>
      </c>
      <c r="M22" s="276"/>
      <c r="N22" s="276"/>
      <c r="O22" s="276" t="str">
        <f ca="1">VLOOKUP("Deterioration",Zone_Traduction,ref_langue,FALSE)</f>
        <v>Deterioration</v>
      </c>
      <c r="P22" s="276"/>
      <c r="Q22" s="20"/>
      <c r="R22"/>
      <c r="S22" s="272"/>
      <c r="T22" s="272"/>
      <c r="V22" s="17"/>
      <c r="W22" s="17"/>
      <c r="X22" s="17"/>
      <c r="Y22" s="17"/>
      <c r="IO22" s="24"/>
      <c r="IP22" s="24"/>
      <c r="IQ22" s="24"/>
      <c r="IR22" s="24"/>
      <c r="IS22" s="24"/>
    </row>
    <row r="23" spans="1:21" s="58" customFormat="1" ht="38.25" customHeight="1">
      <c r="A23" s="53"/>
      <c r="B23" s="20"/>
      <c r="C23" s="55" t="str">
        <f ca="1">VLOOKUP("Order of March",Zone_Traduction,ref_langue,FALSE)</f>
        <v>Order of March</v>
      </c>
      <c r="D23" s="276"/>
      <c r="E23" s="56" t="str">
        <f ca="1">VLOOKUP("type",Zone_Traduction,ref_langue,FALSE)</f>
        <v>Type</v>
      </c>
      <c r="F23" s="56" t="str">
        <f ca="1">VLOOKUP("Armour",Zone_Traduction,ref_langue,FALSE)</f>
        <v>Armour</v>
      </c>
      <c r="G23" s="56" t="str">
        <f ca="1">VLOOKUP("Quality",Zone_Traduction,ref_langue,FALSE)</f>
        <v>Quality</v>
      </c>
      <c r="H23" s="56" t="str">
        <f ca="1">VLOOKUP("Training",Zone_Traduction,ref_langue,FALSE)</f>
        <v>Training</v>
      </c>
      <c r="I23" s="56" t="str">
        <f ca="1">VLOOKUP("Shooting ",Zone_Traduction,ref_langue,FALSE)</f>
        <v>Shooting </v>
      </c>
      <c r="J23" s="56" t="str">
        <f ca="1">VLOOKUP("Close Combat",Zone_Traduction,ref_langue,FALSE)</f>
        <v>Close Combat</v>
      </c>
      <c r="K23" s="56" t="str">
        <f ca="1">VLOOKUP("Camelry; Port. Def.",Zone_Traduction,ref_langue,FALSE)</f>
        <v>Camelry; Port. Def.</v>
      </c>
      <c r="L23" s="56" t="str">
        <f ca="1">VLOOKUP("Number of bases",Zone_Traduction,ref_langue,FALSE)</f>
        <v>Number of Bases</v>
      </c>
      <c r="M23" s="56" t="str">
        <f ca="1">VLOOKUP("Point per base",Zone_Traduction,ref_langue,FALSE)</f>
        <v>Point per Base</v>
      </c>
      <c r="N23" s="56" t="str">
        <f ca="1">VLOOKUP("BG value",Zone_Traduction,ref_langue,FALSE)</f>
        <v>BG Value</v>
      </c>
      <c r="O23" s="57" t="s">
        <v>509</v>
      </c>
      <c r="P23" s="56" t="str">
        <f ca="1">VLOOKUP("autobreak",Zone_Traduction,ref_langue,FALSE)</f>
        <v>Autobreak</v>
      </c>
      <c r="Q23" s="20"/>
      <c r="R23"/>
      <c r="S23"/>
      <c r="T23"/>
      <c r="U23" s="14"/>
    </row>
    <row r="24" spans="1:253" s="66" customFormat="1" ht="27" customHeight="1">
      <c r="A24" s="59"/>
      <c r="B24" s="20"/>
      <c r="C24" s="45">
        <v>1</v>
      </c>
      <c r="D24" s="60" t="s">
        <v>510</v>
      </c>
      <c r="E24" s="61" t="s">
        <v>511</v>
      </c>
      <c r="F24" s="61" t="s">
        <v>466</v>
      </c>
      <c r="G24" s="61" t="s">
        <v>58</v>
      </c>
      <c r="H24" s="61" t="s">
        <v>461</v>
      </c>
      <c r="I24" s="61" t="s">
        <v>83</v>
      </c>
      <c r="J24" s="61" t="s">
        <v>507</v>
      </c>
      <c r="K24" s="61" t="s">
        <v>507</v>
      </c>
      <c r="L24" s="45">
        <v>4</v>
      </c>
      <c r="M24" s="62">
        <f aca="true" t="shared" si="0" ref="M24:M62">U24</f>
        <v>8</v>
      </c>
      <c r="N24" s="63">
        <f aca="true" t="shared" si="1" ref="N24:N62">M24*L24</f>
        <v>32</v>
      </c>
      <c r="O24" s="64">
        <f aca="true" t="shared" si="2" ref="O24:O62">IF(ISBLANK(C24),"-",IF(C24=C25,ROUNDUP((L24+L25)/4,0),IF(C24=C23,"-",ROUNDUP(L24/4,0))))</f>
        <v>1</v>
      </c>
      <c r="P24" s="65">
        <f aca="true" t="shared" si="3" ref="P24:P62">IF(C24=C23,"-",IF(C24=C25,VLOOKUP(G24,tableau_autobreack,MATCH((L24+L25),colonnes_autobreack,FALSE),FALSE),VLOOKUP(G24,tableau_autobreack,MATCH(L24,colonnes_autobreack,FALSE),FALSE)))</f>
        <v>2</v>
      </c>
      <c r="Q24" s="20"/>
      <c r="R24"/>
      <c r="S24" s="66">
        <f>IF(E24="SCh",1,0)</f>
        <v>0</v>
      </c>
      <c r="T24" s="66" t="str">
        <f ca="1">IF(OR($E24="HF",$E24="MF",$E24="LF"),"infanterie",IF(OR($E24="Kn",$E24="Ct",$E24="Cv",$E24="LH",$E24="LCh",$E24="HCh",$E24="SCh",$E24="EL"),"montes",IF(OR($E24="BWG"),"BWG",IF(OR(E24="CAMP"),VLOOKUP("Fortified camp",Zone_Traduction,ref_langue,FALSE),"special"))))</f>
        <v>montes</v>
      </c>
      <c r="U24" s="14">
        <f ca="1">VLOOKUP($E24&amp;" "&amp;$F24,Table_budget,MATCH($G24,Colonnes_table_budget,FALSE),FALSE)+IF($H24=VLOOKUP("Drilled",Zone_Traduction,ref_langue,FALSE),VLOOKUP($E24&amp;" "&amp;$F24,Table_budget,MATCH(VLOOKUP("Drilled",Zone_Traduction,ref_langue,FALSE),Colonnes_table_budget,FALSE),FALSE),0)+IF(ISERROR(VLOOKUP(T24&amp;" "&amp;$I24,Table_armes_tir,2,FALSE)),0,VLOOKUP(T24&amp;" "&amp;$I24,Table_armes_tir,2,FALSE))+IF(ISERROR(VLOOKUP(T24&amp;" "&amp;$J24,Table_armes_melee,2,FALSE)),0,VLOOKUP(T24&amp;" "&amp;$J24,Table_armes_melee,2,FALSE))+IF(ISERROR(VLOOKUP($K24,Table_special,2,FALSE)),0,VLOOKUP($K24,Table_special,2,FALSE))</f>
        <v>8</v>
      </c>
      <c r="V24" s="14">
        <f aca="true" t="shared" si="4" ref="V24:V62">$M24*$L24</f>
        <v>32</v>
      </c>
      <c r="W24" s="9">
        <f aca="true" t="shared" si="5" ref="W24:W62">IF($K24="CinC",VLOOKUP($E24,table_general,2),0)</f>
        <v>0</v>
      </c>
      <c r="X24" s="14">
        <f aca="true" t="shared" si="6" ref="X24:X62">IF(OR($E24="CV",$E24="LH",$E24="LCH"),$L24,0)</f>
        <v>4</v>
      </c>
      <c r="IP24" s="14"/>
      <c r="IQ24" s="14"/>
      <c r="IR24" s="9"/>
      <c r="IS24" s="14"/>
    </row>
    <row r="25" spans="1:253" s="66" customFormat="1" ht="27" customHeight="1">
      <c r="A25" s="59"/>
      <c r="B25" s="20"/>
      <c r="C25" s="45">
        <v>2</v>
      </c>
      <c r="D25" s="60" t="s">
        <v>510</v>
      </c>
      <c r="E25" s="61" t="s">
        <v>511</v>
      </c>
      <c r="F25" s="61" t="s">
        <v>466</v>
      </c>
      <c r="G25" s="61" t="s">
        <v>58</v>
      </c>
      <c r="H25" s="61" t="s">
        <v>461</v>
      </c>
      <c r="I25" s="61" t="s">
        <v>83</v>
      </c>
      <c r="J25" s="61" t="s">
        <v>507</v>
      </c>
      <c r="K25" s="61" t="s">
        <v>507</v>
      </c>
      <c r="L25" s="45">
        <v>4</v>
      </c>
      <c r="M25" s="62">
        <f t="shared" si="0"/>
        <v>8</v>
      </c>
      <c r="N25" s="63">
        <f t="shared" si="1"/>
        <v>32</v>
      </c>
      <c r="O25" s="64">
        <f t="shared" si="2"/>
        <v>1</v>
      </c>
      <c r="P25" s="65">
        <f t="shared" si="3"/>
        <v>2</v>
      </c>
      <c r="Q25" s="20"/>
      <c r="R25"/>
      <c r="S25" s="66">
        <f aca="true" t="shared" si="7" ref="S25:S49">IF(E25="SCh",1,0)</f>
        <v>0</v>
      </c>
      <c r="T25" s="66" t="str">
        <f>IF(OR($E25="HF",$E25="MF",$E25="LF"),"infanterie",IF(OR($E25="Kn",$E25="Ct",$E25="Cv",$E25="LH",$E25="LCh",$E25="HCh",$E25="SCh",$E25="EL"),"montes",IF(OR($E25="BWG"),"BWG","special")))</f>
        <v>montes</v>
      </c>
      <c r="U25" s="14">
        <f aca="true" ca="1" t="shared" si="8" ref="U25:U62">VLOOKUP($E25&amp;" "&amp;$F25,Table_budget,MATCH($G25,Colonnes_table_budget,FALSE),FALSE)+IF($H25=VLOOKUP("Drilled",Zone_Traduction,ref_langue,FALSE),VLOOKUP($E25&amp;" "&amp;$F25,Table_budget,MATCH(VLOOKUP("Drilled",Zone_Traduction,ref_langue,FALSE),Colonnes_table_budget,FALSE),FALSE),0)+IF(ISERROR(VLOOKUP(T25&amp;" "&amp;$I25,Table_armes_tir,2,FALSE)),0,VLOOKUP(T25&amp;" "&amp;$I25,Table_armes_tir,2,FALSE))+IF(ISERROR(VLOOKUP(T25&amp;" "&amp;$J25,Table_armes_melee,2,FALSE)),0,VLOOKUP(T25&amp;" "&amp;$J25,Table_armes_melee,2,FALSE))+IF(ISERROR(VLOOKUP($K25,Table_special,2,FALSE)),0,VLOOKUP($K25,Table_special,2,FALSE))</f>
        <v>8</v>
      </c>
      <c r="V25" s="14">
        <f t="shared" si="4"/>
        <v>32</v>
      </c>
      <c r="W25" s="9">
        <f t="shared" si="5"/>
        <v>0</v>
      </c>
      <c r="X25" s="14">
        <f t="shared" si="6"/>
        <v>4</v>
      </c>
      <c r="IP25" s="14"/>
      <c r="IQ25" s="14"/>
      <c r="IR25" s="9"/>
      <c r="IS25" s="14"/>
    </row>
    <row r="26" spans="1:253" s="66" customFormat="1" ht="27" customHeight="1">
      <c r="A26" s="59"/>
      <c r="B26" s="20"/>
      <c r="C26" s="45">
        <v>3</v>
      </c>
      <c r="D26" s="60" t="s">
        <v>510</v>
      </c>
      <c r="E26" s="61" t="s">
        <v>511</v>
      </c>
      <c r="F26" s="61" t="s">
        <v>466</v>
      </c>
      <c r="G26" s="61" t="s">
        <v>58</v>
      </c>
      <c r="H26" s="61" t="s">
        <v>461</v>
      </c>
      <c r="I26" s="61" t="s">
        <v>83</v>
      </c>
      <c r="J26" s="61" t="s">
        <v>507</v>
      </c>
      <c r="K26" s="61" t="s">
        <v>507</v>
      </c>
      <c r="L26" s="45">
        <v>4</v>
      </c>
      <c r="M26" s="62">
        <f t="shared" si="0"/>
        <v>8</v>
      </c>
      <c r="N26" s="63">
        <f t="shared" si="1"/>
        <v>32</v>
      </c>
      <c r="O26" s="64">
        <f t="shared" si="2"/>
        <v>1</v>
      </c>
      <c r="P26" s="65">
        <f t="shared" si="3"/>
        <v>2</v>
      </c>
      <c r="Q26" s="20"/>
      <c r="S26" s="66">
        <f t="shared" si="7"/>
        <v>0</v>
      </c>
      <c r="T26" s="66" t="str">
        <f aca="true" t="shared" si="9" ref="T26:T62">IF(OR($E26="HF",$E26="MF",$E26="LF"),"infanterie",IF(OR($E26="Kn",$E26="Ct",$E26="Cv",$E26="LH",$E26="LCh",$E26="HCh",$E26="SCh",$E26="EL"),"montes",IF(OR($E26="BWG"),"BWG","special")))</f>
        <v>montes</v>
      </c>
      <c r="U26" s="14">
        <f ca="1" t="shared" si="8"/>
        <v>8</v>
      </c>
      <c r="V26" s="14">
        <f t="shared" si="4"/>
        <v>32</v>
      </c>
      <c r="W26" s="9">
        <f t="shared" si="5"/>
        <v>0</v>
      </c>
      <c r="X26" s="14">
        <f t="shared" si="6"/>
        <v>4</v>
      </c>
      <c r="IP26" s="14"/>
      <c r="IQ26" s="14"/>
      <c r="IR26" s="9"/>
      <c r="IS26" s="14"/>
    </row>
    <row r="27" spans="1:253" s="66" customFormat="1" ht="27" customHeight="1">
      <c r="A27" s="59"/>
      <c r="B27" s="20"/>
      <c r="C27" s="45">
        <v>4</v>
      </c>
      <c r="D27" s="60" t="s">
        <v>510</v>
      </c>
      <c r="E27" s="61" t="s">
        <v>511</v>
      </c>
      <c r="F27" s="61" t="s">
        <v>466</v>
      </c>
      <c r="G27" s="61" t="s">
        <v>58</v>
      </c>
      <c r="H27" s="61" t="s">
        <v>461</v>
      </c>
      <c r="I27" s="61" t="s">
        <v>83</v>
      </c>
      <c r="J27" s="61" t="s">
        <v>507</v>
      </c>
      <c r="K27" s="61" t="s">
        <v>507</v>
      </c>
      <c r="L27" s="45">
        <v>4</v>
      </c>
      <c r="M27" s="62">
        <f t="shared" si="0"/>
        <v>8</v>
      </c>
      <c r="N27" s="63">
        <f t="shared" si="1"/>
        <v>32</v>
      </c>
      <c r="O27" s="64">
        <f t="shared" si="2"/>
        <v>1</v>
      </c>
      <c r="P27" s="65">
        <f t="shared" si="3"/>
        <v>2</v>
      </c>
      <c r="Q27" s="20"/>
      <c r="S27" s="66">
        <f t="shared" si="7"/>
        <v>0</v>
      </c>
      <c r="T27" s="66" t="str">
        <f t="shared" si="9"/>
        <v>montes</v>
      </c>
      <c r="U27" s="14">
        <f ca="1" t="shared" si="8"/>
        <v>8</v>
      </c>
      <c r="V27" s="14">
        <f t="shared" si="4"/>
        <v>32</v>
      </c>
      <c r="W27" s="9">
        <f t="shared" si="5"/>
        <v>0</v>
      </c>
      <c r="X27" s="14">
        <f t="shared" si="6"/>
        <v>4</v>
      </c>
      <c r="IP27" s="14"/>
      <c r="IQ27" s="14"/>
      <c r="IR27" s="9"/>
      <c r="IS27" s="14"/>
    </row>
    <row r="28" spans="1:253" s="66" customFormat="1" ht="27" customHeight="1">
      <c r="A28" s="59"/>
      <c r="B28" s="20"/>
      <c r="C28" s="45">
        <v>5</v>
      </c>
      <c r="D28" s="60" t="s">
        <v>510</v>
      </c>
      <c r="E28" s="61" t="s">
        <v>511</v>
      </c>
      <c r="F28" s="61" t="s">
        <v>466</v>
      </c>
      <c r="G28" s="61" t="s">
        <v>58</v>
      </c>
      <c r="H28" s="61" t="s">
        <v>461</v>
      </c>
      <c r="I28" s="61" t="s">
        <v>83</v>
      </c>
      <c r="J28" s="61" t="s">
        <v>507</v>
      </c>
      <c r="K28" s="61" t="s">
        <v>507</v>
      </c>
      <c r="L28" s="45">
        <v>4</v>
      </c>
      <c r="M28" s="62">
        <f t="shared" si="0"/>
        <v>8</v>
      </c>
      <c r="N28" s="63">
        <f t="shared" si="1"/>
        <v>32</v>
      </c>
      <c r="O28" s="64">
        <f t="shared" si="2"/>
        <v>1</v>
      </c>
      <c r="P28" s="65">
        <f t="shared" si="3"/>
        <v>2</v>
      </c>
      <c r="Q28" s="20"/>
      <c r="S28" s="66">
        <f t="shared" si="7"/>
        <v>0</v>
      </c>
      <c r="T28" s="66" t="str">
        <f t="shared" si="9"/>
        <v>montes</v>
      </c>
      <c r="U28" s="14">
        <f ca="1" t="shared" si="8"/>
        <v>8</v>
      </c>
      <c r="V28" s="14">
        <f t="shared" si="4"/>
        <v>32</v>
      </c>
      <c r="W28" s="9">
        <f t="shared" si="5"/>
        <v>0</v>
      </c>
      <c r="X28" s="14">
        <f t="shared" si="6"/>
        <v>4</v>
      </c>
      <c r="IP28" s="14"/>
      <c r="IQ28" s="14"/>
      <c r="IR28" s="9"/>
      <c r="IS28" s="14"/>
    </row>
    <row r="29" spans="1:253" s="66" customFormat="1" ht="27" customHeight="1">
      <c r="A29" s="59"/>
      <c r="B29" s="20"/>
      <c r="C29" s="45">
        <v>6</v>
      </c>
      <c r="D29" s="60" t="s">
        <v>510</v>
      </c>
      <c r="E29" s="61" t="s">
        <v>511</v>
      </c>
      <c r="F29" s="61" t="s">
        <v>466</v>
      </c>
      <c r="G29" s="61" t="s">
        <v>58</v>
      </c>
      <c r="H29" s="61" t="s">
        <v>461</v>
      </c>
      <c r="I29" s="61" t="s">
        <v>83</v>
      </c>
      <c r="J29" s="61" t="s">
        <v>507</v>
      </c>
      <c r="K29" s="61" t="s">
        <v>507</v>
      </c>
      <c r="L29" s="45">
        <v>4</v>
      </c>
      <c r="M29" s="62">
        <f t="shared" si="0"/>
        <v>8</v>
      </c>
      <c r="N29" s="63">
        <f t="shared" si="1"/>
        <v>32</v>
      </c>
      <c r="O29" s="64">
        <f t="shared" si="2"/>
        <v>1</v>
      </c>
      <c r="P29" s="65">
        <f t="shared" si="3"/>
        <v>2</v>
      </c>
      <c r="Q29" s="20"/>
      <c r="S29" s="66">
        <f t="shared" si="7"/>
        <v>0</v>
      </c>
      <c r="T29" s="66" t="str">
        <f t="shared" si="9"/>
        <v>montes</v>
      </c>
      <c r="U29" s="14">
        <f ca="1" t="shared" si="8"/>
        <v>8</v>
      </c>
      <c r="V29" s="14">
        <f t="shared" si="4"/>
        <v>32</v>
      </c>
      <c r="W29" s="9">
        <f t="shared" si="5"/>
        <v>0</v>
      </c>
      <c r="X29" s="14">
        <f t="shared" si="6"/>
        <v>4</v>
      </c>
      <c r="IP29" s="14"/>
      <c r="IQ29" s="14"/>
      <c r="IR29" s="9"/>
      <c r="IS29" s="14"/>
    </row>
    <row r="30" spans="1:253" s="66" customFormat="1" ht="27" customHeight="1">
      <c r="A30" s="59"/>
      <c r="B30" s="20"/>
      <c r="C30" s="45">
        <v>7</v>
      </c>
      <c r="D30" s="60" t="s">
        <v>510</v>
      </c>
      <c r="E30" s="61" t="s">
        <v>511</v>
      </c>
      <c r="F30" s="61" t="s">
        <v>466</v>
      </c>
      <c r="G30" s="61" t="s">
        <v>58</v>
      </c>
      <c r="H30" s="61" t="s">
        <v>461</v>
      </c>
      <c r="I30" s="61" t="s">
        <v>83</v>
      </c>
      <c r="J30" s="61" t="s">
        <v>507</v>
      </c>
      <c r="K30" s="61" t="s">
        <v>507</v>
      </c>
      <c r="L30" s="45">
        <v>4</v>
      </c>
      <c r="M30" s="62">
        <f t="shared" si="0"/>
        <v>8</v>
      </c>
      <c r="N30" s="63">
        <f t="shared" si="1"/>
        <v>32</v>
      </c>
      <c r="O30" s="64">
        <f t="shared" si="2"/>
        <v>1</v>
      </c>
      <c r="P30" s="65">
        <f t="shared" si="3"/>
        <v>2</v>
      </c>
      <c r="Q30" s="20"/>
      <c r="S30" s="66">
        <f t="shared" si="7"/>
        <v>0</v>
      </c>
      <c r="T30" s="66" t="str">
        <f t="shared" si="9"/>
        <v>montes</v>
      </c>
      <c r="U30" s="14">
        <f ca="1" t="shared" si="8"/>
        <v>8</v>
      </c>
      <c r="V30" s="14">
        <f t="shared" si="4"/>
        <v>32</v>
      </c>
      <c r="W30" s="9">
        <f t="shared" si="5"/>
        <v>0</v>
      </c>
      <c r="X30" s="14">
        <f t="shared" si="6"/>
        <v>4</v>
      </c>
      <c r="IP30" s="14"/>
      <c r="IQ30" s="14"/>
      <c r="IR30" s="9"/>
      <c r="IS30" s="14"/>
    </row>
    <row r="31" spans="1:253" s="66" customFormat="1" ht="27" customHeight="1">
      <c r="A31" s="59"/>
      <c r="B31" s="20"/>
      <c r="C31" s="45">
        <v>8</v>
      </c>
      <c r="D31" s="60" t="s">
        <v>512</v>
      </c>
      <c r="E31" s="61" t="s">
        <v>513</v>
      </c>
      <c r="F31" s="61" t="s">
        <v>186</v>
      </c>
      <c r="G31" s="61" t="s">
        <v>411</v>
      </c>
      <c r="H31" s="61" t="s">
        <v>461</v>
      </c>
      <c r="I31" s="61" t="s">
        <v>507</v>
      </c>
      <c r="J31" s="61" t="s">
        <v>239</v>
      </c>
      <c r="K31" s="61" t="s">
        <v>507</v>
      </c>
      <c r="L31" s="45">
        <v>4</v>
      </c>
      <c r="M31" s="62">
        <f t="shared" si="0"/>
        <v>18</v>
      </c>
      <c r="N31" s="63">
        <f t="shared" si="1"/>
        <v>72</v>
      </c>
      <c r="O31" s="64">
        <f t="shared" si="2"/>
        <v>1</v>
      </c>
      <c r="P31" s="65">
        <f t="shared" si="3"/>
        <v>3</v>
      </c>
      <c r="Q31" s="20"/>
      <c r="S31" s="66">
        <f t="shared" si="7"/>
        <v>0</v>
      </c>
      <c r="T31" s="66" t="str">
        <f t="shared" si="9"/>
        <v>montes</v>
      </c>
      <c r="U31" s="14">
        <f ca="1" t="shared" si="8"/>
        <v>18</v>
      </c>
      <c r="V31" s="14">
        <f t="shared" si="4"/>
        <v>72</v>
      </c>
      <c r="W31" s="9">
        <f t="shared" si="5"/>
        <v>0</v>
      </c>
      <c r="X31" s="14">
        <f t="shared" si="6"/>
        <v>0</v>
      </c>
      <c r="IP31" s="14"/>
      <c r="IQ31" s="14"/>
      <c r="IR31" s="9"/>
      <c r="IS31" s="14"/>
    </row>
    <row r="32" spans="1:253" s="66" customFormat="1" ht="27" customHeight="1">
      <c r="A32" s="59"/>
      <c r="B32" s="20"/>
      <c r="C32" s="45">
        <v>9</v>
      </c>
      <c r="D32" s="60" t="s">
        <v>512</v>
      </c>
      <c r="E32" s="61" t="s">
        <v>513</v>
      </c>
      <c r="F32" s="61" t="s">
        <v>186</v>
      </c>
      <c r="G32" s="61" t="s">
        <v>411</v>
      </c>
      <c r="H32" s="61" t="s">
        <v>461</v>
      </c>
      <c r="I32" s="61" t="s">
        <v>507</v>
      </c>
      <c r="J32" s="61" t="s">
        <v>239</v>
      </c>
      <c r="K32" s="61" t="s">
        <v>507</v>
      </c>
      <c r="L32" s="45">
        <v>4</v>
      </c>
      <c r="M32" s="62">
        <f t="shared" si="0"/>
        <v>18</v>
      </c>
      <c r="N32" s="63">
        <f t="shared" si="1"/>
        <v>72</v>
      </c>
      <c r="O32" s="64">
        <f t="shared" si="2"/>
        <v>1</v>
      </c>
      <c r="P32" s="65">
        <f t="shared" si="3"/>
        <v>3</v>
      </c>
      <c r="Q32" s="20"/>
      <c r="S32" s="66">
        <f t="shared" si="7"/>
        <v>0</v>
      </c>
      <c r="T32" s="66" t="str">
        <f t="shared" si="9"/>
        <v>montes</v>
      </c>
      <c r="U32" s="14">
        <f ca="1" t="shared" si="8"/>
        <v>18</v>
      </c>
      <c r="V32" s="14">
        <f t="shared" si="4"/>
        <v>72</v>
      </c>
      <c r="W32" s="9">
        <f t="shared" si="5"/>
        <v>0</v>
      </c>
      <c r="X32" s="14">
        <f t="shared" si="6"/>
        <v>0</v>
      </c>
      <c r="IP32" s="14"/>
      <c r="IQ32" s="14"/>
      <c r="IR32" s="9"/>
      <c r="IS32" s="14"/>
    </row>
    <row r="33" spans="1:253" s="66" customFormat="1" ht="27" customHeight="1">
      <c r="A33" s="59"/>
      <c r="B33" s="20"/>
      <c r="C33" s="45">
        <v>10</v>
      </c>
      <c r="D33" s="60" t="s">
        <v>512</v>
      </c>
      <c r="E33" s="61" t="s">
        <v>513</v>
      </c>
      <c r="F33" s="61" t="s">
        <v>186</v>
      </c>
      <c r="G33" s="61" t="s">
        <v>411</v>
      </c>
      <c r="H33" s="61" t="s">
        <v>461</v>
      </c>
      <c r="I33" s="61" t="s">
        <v>507</v>
      </c>
      <c r="J33" s="61" t="s">
        <v>239</v>
      </c>
      <c r="K33" s="61" t="s">
        <v>507</v>
      </c>
      <c r="L33" s="45">
        <v>4</v>
      </c>
      <c r="M33" s="62">
        <f t="shared" si="0"/>
        <v>18</v>
      </c>
      <c r="N33" s="63">
        <f t="shared" si="1"/>
        <v>72</v>
      </c>
      <c r="O33" s="64">
        <f t="shared" si="2"/>
        <v>1</v>
      </c>
      <c r="P33" s="65">
        <f t="shared" si="3"/>
        <v>3</v>
      </c>
      <c r="Q33" s="20"/>
      <c r="S33" s="66">
        <f t="shared" si="7"/>
        <v>0</v>
      </c>
      <c r="T33" s="66" t="str">
        <f t="shared" si="9"/>
        <v>montes</v>
      </c>
      <c r="U33" s="14">
        <f ca="1" t="shared" si="8"/>
        <v>18</v>
      </c>
      <c r="V33" s="14">
        <f t="shared" si="4"/>
        <v>72</v>
      </c>
      <c r="W33" s="9">
        <f t="shared" si="5"/>
        <v>0</v>
      </c>
      <c r="X33" s="14">
        <f t="shared" si="6"/>
        <v>0</v>
      </c>
      <c r="IP33" s="14"/>
      <c r="IQ33" s="14"/>
      <c r="IR33" s="9"/>
      <c r="IS33" s="14"/>
    </row>
    <row r="34" spans="1:253" s="66" customFormat="1" ht="27" customHeight="1">
      <c r="A34" s="59"/>
      <c r="B34" s="20"/>
      <c r="C34" s="45">
        <v>11</v>
      </c>
      <c r="D34" s="60" t="s">
        <v>512</v>
      </c>
      <c r="E34" s="61" t="s">
        <v>513</v>
      </c>
      <c r="F34" s="61" t="s">
        <v>186</v>
      </c>
      <c r="G34" s="61" t="s">
        <v>411</v>
      </c>
      <c r="H34" s="61" t="s">
        <v>461</v>
      </c>
      <c r="I34" s="61" t="s">
        <v>507</v>
      </c>
      <c r="J34" s="61" t="s">
        <v>239</v>
      </c>
      <c r="K34" s="61" t="s">
        <v>507</v>
      </c>
      <c r="L34" s="45">
        <v>4</v>
      </c>
      <c r="M34" s="62">
        <f t="shared" si="0"/>
        <v>18</v>
      </c>
      <c r="N34" s="63">
        <f t="shared" si="1"/>
        <v>72</v>
      </c>
      <c r="O34" s="64">
        <f t="shared" si="2"/>
        <v>1</v>
      </c>
      <c r="P34" s="65">
        <f t="shared" si="3"/>
        <v>3</v>
      </c>
      <c r="Q34" s="20"/>
      <c r="S34" s="66">
        <f t="shared" si="7"/>
        <v>0</v>
      </c>
      <c r="T34" s="66" t="str">
        <f t="shared" si="9"/>
        <v>montes</v>
      </c>
      <c r="U34" s="14">
        <f ca="1" t="shared" si="8"/>
        <v>18</v>
      </c>
      <c r="V34" s="14">
        <f t="shared" si="4"/>
        <v>72</v>
      </c>
      <c r="W34" s="9">
        <f t="shared" si="5"/>
        <v>0</v>
      </c>
      <c r="X34" s="14">
        <f t="shared" si="6"/>
        <v>0</v>
      </c>
      <c r="IP34" s="14"/>
      <c r="IQ34" s="14"/>
      <c r="IR34" s="9"/>
      <c r="IS34" s="14"/>
    </row>
    <row r="35" spans="1:253" s="66" customFormat="1" ht="27" customHeight="1">
      <c r="A35" s="59"/>
      <c r="B35" s="20"/>
      <c r="C35" s="45">
        <v>12</v>
      </c>
      <c r="D35" s="60" t="s">
        <v>514</v>
      </c>
      <c r="E35" s="61" t="s">
        <v>511</v>
      </c>
      <c r="F35" s="61" t="s">
        <v>466</v>
      </c>
      <c r="G35" s="61" t="s">
        <v>58</v>
      </c>
      <c r="H35" s="61" t="s">
        <v>461</v>
      </c>
      <c r="I35" s="61" t="s">
        <v>83</v>
      </c>
      <c r="J35" s="61" t="s">
        <v>507</v>
      </c>
      <c r="K35" s="61" t="s">
        <v>507</v>
      </c>
      <c r="L35" s="45">
        <v>4</v>
      </c>
      <c r="M35" s="62">
        <f t="shared" si="0"/>
        <v>8</v>
      </c>
      <c r="N35" s="63">
        <f t="shared" si="1"/>
        <v>32</v>
      </c>
      <c r="O35" s="64">
        <f t="shared" si="2"/>
        <v>1</v>
      </c>
      <c r="P35" s="65">
        <f t="shared" si="3"/>
        <v>2</v>
      </c>
      <c r="Q35" s="20"/>
      <c r="S35" s="66">
        <f t="shared" si="7"/>
        <v>0</v>
      </c>
      <c r="T35" s="66" t="str">
        <f t="shared" si="9"/>
        <v>montes</v>
      </c>
      <c r="U35" s="14">
        <f ca="1" t="shared" si="8"/>
        <v>8</v>
      </c>
      <c r="V35" s="14">
        <f t="shared" si="4"/>
        <v>32</v>
      </c>
      <c r="W35" s="9">
        <f t="shared" si="5"/>
        <v>0</v>
      </c>
      <c r="X35" s="14">
        <f t="shared" si="6"/>
        <v>4</v>
      </c>
      <c r="IP35" s="14"/>
      <c r="IQ35" s="14"/>
      <c r="IR35" s="9"/>
      <c r="IS35" s="14"/>
    </row>
    <row r="36" spans="1:253" s="66" customFormat="1" ht="27" customHeight="1">
      <c r="A36" s="59"/>
      <c r="B36" s="20"/>
      <c r="C36" s="45">
        <v>13</v>
      </c>
      <c r="D36" s="60" t="s">
        <v>515</v>
      </c>
      <c r="E36" s="61" t="s">
        <v>513</v>
      </c>
      <c r="F36" s="61" t="s">
        <v>186</v>
      </c>
      <c r="G36" s="61" t="s">
        <v>411</v>
      </c>
      <c r="H36" s="61" t="s">
        <v>461</v>
      </c>
      <c r="I36" s="61" t="s">
        <v>507</v>
      </c>
      <c r="J36" s="61" t="s">
        <v>239</v>
      </c>
      <c r="K36" s="61" t="s">
        <v>507</v>
      </c>
      <c r="L36" s="45">
        <v>6</v>
      </c>
      <c r="M36" s="62">
        <f t="shared" si="0"/>
        <v>18</v>
      </c>
      <c r="N36" s="63">
        <f t="shared" si="1"/>
        <v>108</v>
      </c>
      <c r="O36" s="64">
        <f t="shared" si="2"/>
        <v>2</v>
      </c>
      <c r="P36" s="65">
        <f t="shared" si="3"/>
        <v>4</v>
      </c>
      <c r="Q36" s="20"/>
      <c r="S36" s="66">
        <f t="shared" si="7"/>
        <v>0</v>
      </c>
      <c r="T36" s="66" t="str">
        <f t="shared" si="9"/>
        <v>montes</v>
      </c>
      <c r="U36" s="14">
        <f ca="1" t="shared" si="8"/>
        <v>18</v>
      </c>
      <c r="V36" s="14">
        <f t="shared" si="4"/>
        <v>108</v>
      </c>
      <c r="W36" s="9">
        <f t="shared" si="5"/>
        <v>0</v>
      </c>
      <c r="X36" s="14">
        <f t="shared" si="6"/>
        <v>0</v>
      </c>
      <c r="IP36" s="14"/>
      <c r="IQ36" s="14"/>
      <c r="IR36" s="9"/>
      <c r="IS36" s="14"/>
    </row>
    <row r="37" spans="1:253" s="66" customFormat="1" ht="27" customHeight="1">
      <c r="A37" s="59"/>
      <c r="B37" s="20"/>
      <c r="C37" s="45"/>
      <c r="D37" s="60"/>
      <c r="E37" s="61" t="s">
        <v>507</v>
      </c>
      <c r="F37" s="61" t="s">
        <v>507</v>
      </c>
      <c r="G37" s="61" t="s">
        <v>507</v>
      </c>
      <c r="H37" s="61" t="s">
        <v>507</v>
      </c>
      <c r="I37" s="61" t="s">
        <v>507</v>
      </c>
      <c r="J37" s="61" t="s">
        <v>507</v>
      </c>
      <c r="K37" s="61" t="s">
        <v>507</v>
      </c>
      <c r="L37" s="45"/>
      <c r="M37" s="62">
        <f t="shared" si="0"/>
        <v>0</v>
      </c>
      <c r="N37" s="63">
        <f t="shared" si="1"/>
        <v>0</v>
      </c>
      <c r="O37" s="64" t="str">
        <f t="shared" si="2"/>
        <v>-</v>
      </c>
      <c r="P37" s="65" t="str">
        <f t="shared" si="3"/>
        <v>-</v>
      </c>
      <c r="Q37" s="20"/>
      <c r="S37" s="66">
        <f t="shared" si="7"/>
        <v>0</v>
      </c>
      <c r="T37" s="66" t="str">
        <f t="shared" si="9"/>
        <v>special</v>
      </c>
      <c r="U37" s="14">
        <f ca="1" t="shared" si="8"/>
        <v>0</v>
      </c>
      <c r="V37" s="14">
        <f t="shared" si="4"/>
        <v>0</v>
      </c>
      <c r="W37" s="9">
        <f t="shared" si="5"/>
        <v>0</v>
      </c>
      <c r="X37" s="14">
        <f t="shared" si="6"/>
        <v>0</v>
      </c>
      <c r="IP37" s="14"/>
      <c r="IQ37" s="14"/>
      <c r="IR37" s="9"/>
      <c r="IS37" s="14"/>
    </row>
    <row r="38" spans="1:252" ht="27" customHeight="1">
      <c r="A38" s="59"/>
      <c r="B38" s="20"/>
      <c r="C38" s="45"/>
      <c r="D38" s="60"/>
      <c r="E38" s="61" t="s">
        <v>507</v>
      </c>
      <c r="F38" s="61" t="s">
        <v>507</v>
      </c>
      <c r="G38" s="61" t="s">
        <v>507</v>
      </c>
      <c r="H38" s="61" t="s">
        <v>507</v>
      </c>
      <c r="I38" s="61" t="s">
        <v>507</v>
      </c>
      <c r="J38" s="61" t="s">
        <v>507</v>
      </c>
      <c r="K38" s="61" t="s">
        <v>507</v>
      </c>
      <c r="L38" s="45"/>
      <c r="M38" s="62">
        <f t="shared" si="0"/>
        <v>0</v>
      </c>
      <c r="N38" s="63">
        <f t="shared" si="1"/>
        <v>0</v>
      </c>
      <c r="O38" s="64" t="str">
        <f t="shared" si="2"/>
        <v>-</v>
      </c>
      <c r="P38" s="65" t="str">
        <f t="shared" si="3"/>
        <v>-</v>
      </c>
      <c r="Q38" s="20"/>
      <c r="S38" s="66">
        <f t="shared" si="7"/>
        <v>0</v>
      </c>
      <c r="T38" s="66" t="str">
        <f t="shared" si="9"/>
        <v>special</v>
      </c>
      <c r="U38" s="14">
        <f ca="1" t="shared" si="8"/>
        <v>0</v>
      </c>
      <c r="V38" s="14">
        <f t="shared" si="4"/>
        <v>0</v>
      </c>
      <c r="W38" s="9">
        <f t="shared" si="5"/>
        <v>0</v>
      </c>
      <c r="X38" s="14">
        <f t="shared" si="6"/>
        <v>0</v>
      </c>
      <c r="IN38" s="66"/>
      <c r="IO38" s="66"/>
      <c r="IR38" s="9"/>
    </row>
    <row r="39" spans="1:252" ht="27" customHeight="1">
      <c r="A39" s="59"/>
      <c r="B39" s="20"/>
      <c r="C39" s="45"/>
      <c r="D39" s="60"/>
      <c r="E39" s="61" t="s">
        <v>507</v>
      </c>
      <c r="F39" s="61" t="s">
        <v>507</v>
      </c>
      <c r="G39" s="61" t="s">
        <v>507</v>
      </c>
      <c r="H39" s="61" t="s">
        <v>507</v>
      </c>
      <c r="I39" s="61" t="s">
        <v>507</v>
      </c>
      <c r="J39" s="61" t="s">
        <v>507</v>
      </c>
      <c r="K39" s="61" t="s">
        <v>507</v>
      </c>
      <c r="L39" s="45"/>
      <c r="M39" s="62">
        <f t="shared" si="0"/>
        <v>0</v>
      </c>
      <c r="N39" s="63">
        <f t="shared" si="1"/>
        <v>0</v>
      </c>
      <c r="O39" s="64" t="str">
        <f t="shared" si="2"/>
        <v>-</v>
      </c>
      <c r="P39" s="65" t="str">
        <f t="shared" si="3"/>
        <v>-</v>
      </c>
      <c r="Q39" s="20"/>
      <c r="S39" s="66">
        <f t="shared" si="7"/>
        <v>0</v>
      </c>
      <c r="T39" s="66" t="str">
        <f t="shared" si="9"/>
        <v>special</v>
      </c>
      <c r="U39" s="14">
        <f ca="1" t="shared" si="8"/>
        <v>0</v>
      </c>
      <c r="V39" s="14">
        <f t="shared" si="4"/>
        <v>0</v>
      </c>
      <c r="W39" s="9">
        <f t="shared" si="5"/>
        <v>0</v>
      </c>
      <c r="X39" s="14">
        <f t="shared" si="6"/>
        <v>0</v>
      </c>
      <c r="IN39" s="66"/>
      <c r="IO39" s="66"/>
      <c r="IR39" s="9"/>
    </row>
    <row r="40" spans="1:252" ht="27" customHeight="1">
      <c r="A40" s="59"/>
      <c r="B40" s="20"/>
      <c r="C40" s="45"/>
      <c r="D40" s="60"/>
      <c r="E40" s="61" t="s">
        <v>507</v>
      </c>
      <c r="F40" s="61" t="s">
        <v>507</v>
      </c>
      <c r="G40" s="61" t="s">
        <v>507</v>
      </c>
      <c r="H40" s="61" t="s">
        <v>507</v>
      </c>
      <c r="I40" s="61" t="s">
        <v>507</v>
      </c>
      <c r="J40" s="61" t="s">
        <v>507</v>
      </c>
      <c r="K40" s="61" t="s">
        <v>507</v>
      </c>
      <c r="L40" s="45"/>
      <c r="M40" s="62">
        <f t="shared" si="0"/>
        <v>0</v>
      </c>
      <c r="N40" s="63">
        <f t="shared" si="1"/>
        <v>0</v>
      </c>
      <c r="O40" s="64" t="str">
        <f t="shared" si="2"/>
        <v>-</v>
      </c>
      <c r="P40" s="65" t="str">
        <f t="shared" si="3"/>
        <v>-</v>
      </c>
      <c r="Q40" s="20"/>
      <c r="S40" s="66">
        <f t="shared" si="7"/>
        <v>0</v>
      </c>
      <c r="T40" s="66" t="str">
        <f t="shared" si="9"/>
        <v>special</v>
      </c>
      <c r="U40" s="14">
        <f ca="1" t="shared" si="8"/>
        <v>0</v>
      </c>
      <c r="V40" s="14">
        <f t="shared" si="4"/>
        <v>0</v>
      </c>
      <c r="W40" s="9">
        <f t="shared" si="5"/>
        <v>0</v>
      </c>
      <c r="X40" s="14">
        <f t="shared" si="6"/>
        <v>0</v>
      </c>
      <c r="IN40" s="66"/>
      <c r="IO40" s="66"/>
      <c r="IR40" s="9"/>
    </row>
    <row r="41" spans="1:252" ht="27" customHeight="1">
      <c r="A41" s="59"/>
      <c r="B41" s="20"/>
      <c r="C41" s="45"/>
      <c r="D41" s="60"/>
      <c r="E41" s="61" t="s">
        <v>507</v>
      </c>
      <c r="F41" s="61" t="s">
        <v>507</v>
      </c>
      <c r="G41" s="61" t="s">
        <v>507</v>
      </c>
      <c r="H41" s="61" t="s">
        <v>507</v>
      </c>
      <c r="I41" s="61" t="s">
        <v>507</v>
      </c>
      <c r="J41" s="61" t="s">
        <v>507</v>
      </c>
      <c r="K41" s="61" t="s">
        <v>507</v>
      </c>
      <c r="L41" s="45"/>
      <c r="M41" s="62">
        <f t="shared" si="0"/>
        <v>0</v>
      </c>
      <c r="N41" s="63">
        <f t="shared" si="1"/>
        <v>0</v>
      </c>
      <c r="O41" s="64" t="str">
        <f t="shared" si="2"/>
        <v>-</v>
      </c>
      <c r="P41" s="65" t="str">
        <f t="shared" si="3"/>
        <v>-</v>
      </c>
      <c r="Q41" s="20"/>
      <c r="S41" s="66">
        <f t="shared" si="7"/>
        <v>0</v>
      </c>
      <c r="T41" s="66" t="str">
        <f t="shared" si="9"/>
        <v>special</v>
      </c>
      <c r="U41" s="14">
        <f ca="1" t="shared" si="8"/>
        <v>0</v>
      </c>
      <c r="V41" s="14">
        <f t="shared" si="4"/>
        <v>0</v>
      </c>
      <c r="W41" s="9">
        <f t="shared" si="5"/>
        <v>0</v>
      </c>
      <c r="X41" s="14">
        <f t="shared" si="6"/>
        <v>0</v>
      </c>
      <c r="IN41" s="66"/>
      <c r="IO41" s="66"/>
      <c r="IR41" s="9"/>
    </row>
    <row r="42" spans="1:252" ht="27" customHeight="1">
      <c r="A42" s="59"/>
      <c r="B42" s="20"/>
      <c r="C42" s="45"/>
      <c r="D42" s="60"/>
      <c r="E42" s="61" t="s">
        <v>507</v>
      </c>
      <c r="F42" s="61" t="s">
        <v>507</v>
      </c>
      <c r="G42" s="61" t="s">
        <v>507</v>
      </c>
      <c r="H42" s="61" t="s">
        <v>507</v>
      </c>
      <c r="I42" s="61" t="s">
        <v>507</v>
      </c>
      <c r="J42" s="61" t="s">
        <v>507</v>
      </c>
      <c r="K42" s="61" t="s">
        <v>507</v>
      </c>
      <c r="L42" s="45"/>
      <c r="M42" s="62">
        <f t="shared" si="0"/>
        <v>0</v>
      </c>
      <c r="N42" s="63">
        <f t="shared" si="1"/>
        <v>0</v>
      </c>
      <c r="O42" s="64" t="str">
        <f t="shared" si="2"/>
        <v>-</v>
      </c>
      <c r="P42" s="65" t="str">
        <f t="shared" si="3"/>
        <v>-</v>
      </c>
      <c r="Q42" s="20"/>
      <c r="S42" s="66">
        <f t="shared" si="7"/>
        <v>0</v>
      </c>
      <c r="T42" s="66" t="str">
        <f t="shared" si="9"/>
        <v>special</v>
      </c>
      <c r="U42" s="14">
        <f ca="1" t="shared" si="8"/>
        <v>0</v>
      </c>
      <c r="V42" s="14">
        <f t="shared" si="4"/>
        <v>0</v>
      </c>
      <c r="W42" s="9">
        <f t="shared" si="5"/>
        <v>0</v>
      </c>
      <c r="X42" s="14">
        <f t="shared" si="6"/>
        <v>0</v>
      </c>
      <c r="IN42" s="66"/>
      <c r="IO42" s="66"/>
      <c r="IR42" s="9"/>
    </row>
    <row r="43" spans="1:252" ht="27" customHeight="1">
      <c r="A43" s="59"/>
      <c r="B43" s="20"/>
      <c r="C43" s="45"/>
      <c r="D43" s="60"/>
      <c r="E43" s="61" t="s">
        <v>507</v>
      </c>
      <c r="F43" s="61" t="s">
        <v>507</v>
      </c>
      <c r="G43" s="61" t="s">
        <v>507</v>
      </c>
      <c r="H43" s="61" t="s">
        <v>507</v>
      </c>
      <c r="I43" s="61" t="s">
        <v>507</v>
      </c>
      <c r="J43" s="61" t="s">
        <v>507</v>
      </c>
      <c r="K43" s="61" t="s">
        <v>507</v>
      </c>
      <c r="L43" s="45"/>
      <c r="M43" s="62">
        <f t="shared" si="0"/>
        <v>0</v>
      </c>
      <c r="N43" s="63">
        <f t="shared" si="1"/>
        <v>0</v>
      </c>
      <c r="O43" s="64" t="str">
        <f t="shared" si="2"/>
        <v>-</v>
      </c>
      <c r="P43" s="65" t="str">
        <f t="shared" si="3"/>
        <v>-</v>
      </c>
      <c r="Q43" s="20"/>
      <c r="S43" s="66">
        <f t="shared" si="7"/>
        <v>0</v>
      </c>
      <c r="T43" s="66" t="str">
        <f t="shared" si="9"/>
        <v>special</v>
      </c>
      <c r="U43" s="14">
        <f ca="1" t="shared" si="8"/>
        <v>0</v>
      </c>
      <c r="V43" s="14">
        <f t="shared" si="4"/>
        <v>0</v>
      </c>
      <c r="W43" s="9">
        <f t="shared" si="5"/>
        <v>0</v>
      </c>
      <c r="X43" s="14">
        <f t="shared" si="6"/>
        <v>0</v>
      </c>
      <c r="IN43" s="66"/>
      <c r="IO43" s="66"/>
      <c r="IR43" s="9"/>
    </row>
    <row r="44" spans="1:252" ht="27" customHeight="1">
      <c r="A44" s="59"/>
      <c r="B44" s="20"/>
      <c r="C44" s="45"/>
      <c r="D44" s="60"/>
      <c r="E44" s="61" t="s">
        <v>507</v>
      </c>
      <c r="F44" s="61" t="s">
        <v>507</v>
      </c>
      <c r="G44" s="61" t="s">
        <v>507</v>
      </c>
      <c r="H44" s="61" t="s">
        <v>507</v>
      </c>
      <c r="I44" s="61" t="s">
        <v>507</v>
      </c>
      <c r="J44" s="61" t="s">
        <v>507</v>
      </c>
      <c r="K44" s="61" t="s">
        <v>507</v>
      </c>
      <c r="L44" s="45"/>
      <c r="M44" s="62">
        <f t="shared" si="0"/>
        <v>0</v>
      </c>
      <c r="N44" s="63">
        <f t="shared" si="1"/>
        <v>0</v>
      </c>
      <c r="O44" s="64" t="str">
        <f t="shared" si="2"/>
        <v>-</v>
      </c>
      <c r="P44" s="65" t="str">
        <f t="shared" si="3"/>
        <v>-</v>
      </c>
      <c r="Q44" s="20"/>
      <c r="S44" s="66">
        <f t="shared" si="7"/>
        <v>0</v>
      </c>
      <c r="T44" s="66" t="str">
        <f t="shared" si="9"/>
        <v>special</v>
      </c>
      <c r="U44" s="14">
        <f ca="1" t="shared" si="8"/>
        <v>0</v>
      </c>
      <c r="V44" s="14">
        <f t="shared" si="4"/>
        <v>0</v>
      </c>
      <c r="W44" s="9">
        <f t="shared" si="5"/>
        <v>0</v>
      </c>
      <c r="X44" s="14">
        <f t="shared" si="6"/>
        <v>0</v>
      </c>
      <c r="IN44" s="66"/>
      <c r="IO44" s="66"/>
      <c r="IR44" s="9"/>
    </row>
    <row r="45" spans="1:252" ht="27" customHeight="1">
      <c r="A45" s="59"/>
      <c r="B45" s="20"/>
      <c r="C45" s="45"/>
      <c r="D45" s="60"/>
      <c r="E45" s="61" t="s">
        <v>507</v>
      </c>
      <c r="F45" s="61" t="s">
        <v>507</v>
      </c>
      <c r="G45" s="61" t="s">
        <v>507</v>
      </c>
      <c r="H45" s="61" t="s">
        <v>507</v>
      </c>
      <c r="I45" s="61" t="s">
        <v>507</v>
      </c>
      <c r="J45" s="61" t="s">
        <v>507</v>
      </c>
      <c r="K45" s="61" t="s">
        <v>507</v>
      </c>
      <c r="L45" s="45"/>
      <c r="M45" s="62">
        <f t="shared" si="0"/>
        <v>0</v>
      </c>
      <c r="N45" s="63">
        <f t="shared" si="1"/>
        <v>0</v>
      </c>
      <c r="O45" s="64" t="str">
        <f t="shared" si="2"/>
        <v>-</v>
      </c>
      <c r="P45" s="65" t="str">
        <f t="shared" si="3"/>
        <v>-</v>
      </c>
      <c r="Q45" s="20"/>
      <c r="S45" s="66">
        <f t="shared" si="7"/>
        <v>0</v>
      </c>
      <c r="T45" s="66" t="str">
        <f t="shared" si="9"/>
        <v>special</v>
      </c>
      <c r="U45" s="14">
        <f ca="1" t="shared" si="8"/>
        <v>0</v>
      </c>
      <c r="V45" s="14">
        <f t="shared" si="4"/>
        <v>0</v>
      </c>
      <c r="W45" s="9">
        <f t="shared" si="5"/>
        <v>0</v>
      </c>
      <c r="X45" s="14">
        <f t="shared" si="6"/>
        <v>0</v>
      </c>
      <c r="IN45" s="66"/>
      <c r="IO45" s="66"/>
      <c r="IR45" s="9"/>
    </row>
    <row r="46" spans="1:252" ht="27" customHeight="1">
      <c r="A46" s="59"/>
      <c r="B46" s="20"/>
      <c r="C46" s="45"/>
      <c r="D46" s="60"/>
      <c r="E46" s="61" t="s">
        <v>507</v>
      </c>
      <c r="F46" s="61" t="s">
        <v>507</v>
      </c>
      <c r="G46" s="61" t="s">
        <v>507</v>
      </c>
      <c r="H46" s="61" t="s">
        <v>507</v>
      </c>
      <c r="I46" s="61" t="s">
        <v>507</v>
      </c>
      <c r="J46" s="61" t="s">
        <v>507</v>
      </c>
      <c r="K46" s="61" t="s">
        <v>507</v>
      </c>
      <c r="L46" s="45"/>
      <c r="M46" s="62">
        <f t="shared" si="0"/>
        <v>0</v>
      </c>
      <c r="N46" s="63">
        <f t="shared" si="1"/>
        <v>0</v>
      </c>
      <c r="O46" s="64" t="str">
        <f t="shared" si="2"/>
        <v>-</v>
      </c>
      <c r="P46" s="65" t="str">
        <f t="shared" si="3"/>
        <v>-</v>
      </c>
      <c r="Q46" s="20"/>
      <c r="S46" s="66">
        <f t="shared" si="7"/>
        <v>0</v>
      </c>
      <c r="T46" s="66" t="str">
        <f t="shared" si="9"/>
        <v>special</v>
      </c>
      <c r="U46" s="14">
        <f ca="1" t="shared" si="8"/>
        <v>0</v>
      </c>
      <c r="V46" s="14">
        <f t="shared" si="4"/>
        <v>0</v>
      </c>
      <c r="W46" s="9">
        <f t="shared" si="5"/>
        <v>0</v>
      </c>
      <c r="X46" s="14">
        <f t="shared" si="6"/>
        <v>0</v>
      </c>
      <c r="IN46" s="66"/>
      <c r="IO46" s="66"/>
      <c r="IR46" s="9"/>
    </row>
    <row r="47" spans="1:252" ht="27" customHeight="1">
      <c r="A47" s="59"/>
      <c r="B47" s="20"/>
      <c r="C47" s="45"/>
      <c r="D47" s="60"/>
      <c r="E47" s="61" t="s">
        <v>507</v>
      </c>
      <c r="F47" s="61" t="s">
        <v>507</v>
      </c>
      <c r="G47" s="61" t="s">
        <v>507</v>
      </c>
      <c r="H47" s="61" t="s">
        <v>507</v>
      </c>
      <c r="I47" s="61" t="s">
        <v>507</v>
      </c>
      <c r="J47" s="61" t="s">
        <v>507</v>
      </c>
      <c r="K47" s="61" t="s">
        <v>507</v>
      </c>
      <c r="L47" s="45"/>
      <c r="M47" s="62">
        <f t="shared" si="0"/>
        <v>0</v>
      </c>
      <c r="N47" s="63">
        <f t="shared" si="1"/>
        <v>0</v>
      </c>
      <c r="O47" s="64" t="str">
        <f t="shared" si="2"/>
        <v>-</v>
      </c>
      <c r="P47" s="65" t="str">
        <f t="shared" si="3"/>
        <v>-</v>
      </c>
      <c r="Q47" s="20"/>
      <c r="S47" s="66">
        <f t="shared" si="7"/>
        <v>0</v>
      </c>
      <c r="T47" s="66" t="str">
        <f t="shared" si="9"/>
        <v>special</v>
      </c>
      <c r="U47" s="14">
        <f ca="1" t="shared" si="8"/>
        <v>0</v>
      </c>
      <c r="V47" s="14">
        <f t="shared" si="4"/>
        <v>0</v>
      </c>
      <c r="W47" s="9">
        <f t="shared" si="5"/>
        <v>0</v>
      </c>
      <c r="X47" s="14">
        <f t="shared" si="6"/>
        <v>0</v>
      </c>
      <c r="IN47" s="66"/>
      <c r="IO47" s="66"/>
      <c r="IR47" s="9"/>
    </row>
    <row r="48" spans="1:252" ht="27" customHeight="1">
      <c r="A48" s="59"/>
      <c r="B48" s="20"/>
      <c r="C48" s="45"/>
      <c r="D48" s="60"/>
      <c r="E48" s="61" t="s">
        <v>507</v>
      </c>
      <c r="F48" s="61" t="s">
        <v>507</v>
      </c>
      <c r="G48" s="61" t="s">
        <v>507</v>
      </c>
      <c r="H48" s="61" t="s">
        <v>507</v>
      </c>
      <c r="I48" s="61" t="s">
        <v>507</v>
      </c>
      <c r="J48" s="61" t="s">
        <v>507</v>
      </c>
      <c r="K48" s="61" t="s">
        <v>507</v>
      </c>
      <c r="L48" s="45"/>
      <c r="M48" s="62">
        <f t="shared" si="0"/>
        <v>0</v>
      </c>
      <c r="N48" s="63">
        <f t="shared" si="1"/>
        <v>0</v>
      </c>
      <c r="O48" s="64" t="str">
        <f t="shared" si="2"/>
        <v>-</v>
      </c>
      <c r="P48" s="65" t="str">
        <f t="shared" si="3"/>
        <v>-</v>
      </c>
      <c r="Q48" s="20"/>
      <c r="S48" s="66">
        <f t="shared" si="7"/>
        <v>0</v>
      </c>
      <c r="T48" s="66" t="str">
        <f t="shared" si="9"/>
        <v>special</v>
      </c>
      <c r="U48" s="14">
        <f ca="1" t="shared" si="8"/>
        <v>0</v>
      </c>
      <c r="V48" s="14">
        <f t="shared" si="4"/>
        <v>0</v>
      </c>
      <c r="W48" s="9">
        <f t="shared" si="5"/>
        <v>0</v>
      </c>
      <c r="X48" s="14">
        <f t="shared" si="6"/>
        <v>0</v>
      </c>
      <c r="IN48" s="66"/>
      <c r="IO48" s="66"/>
      <c r="IR48" s="9"/>
    </row>
    <row r="49" spans="1:252" ht="27" customHeight="1">
      <c r="A49" s="59"/>
      <c r="B49" s="20"/>
      <c r="C49" s="45"/>
      <c r="D49" s="60"/>
      <c r="E49" s="61" t="s">
        <v>507</v>
      </c>
      <c r="F49" s="61" t="s">
        <v>507</v>
      </c>
      <c r="G49" s="61" t="s">
        <v>507</v>
      </c>
      <c r="H49" s="61" t="s">
        <v>507</v>
      </c>
      <c r="I49" s="61" t="s">
        <v>507</v>
      </c>
      <c r="J49" s="61" t="s">
        <v>507</v>
      </c>
      <c r="K49" s="61" t="s">
        <v>507</v>
      </c>
      <c r="L49" s="45"/>
      <c r="M49" s="62">
        <f t="shared" si="0"/>
        <v>0</v>
      </c>
      <c r="N49" s="63">
        <f t="shared" si="1"/>
        <v>0</v>
      </c>
      <c r="O49" s="64" t="str">
        <f t="shared" si="2"/>
        <v>-</v>
      </c>
      <c r="P49" s="65" t="str">
        <f t="shared" si="3"/>
        <v>-</v>
      </c>
      <c r="Q49" s="20"/>
      <c r="S49" s="66">
        <f t="shared" si="7"/>
        <v>0</v>
      </c>
      <c r="T49" s="66" t="str">
        <f t="shared" si="9"/>
        <v>special</v>
      </c>
      <c r="U49" s="14">
        <f ca="1" t="shared" si="8"/>
        <v>0</v>
      </c>
      <c r="V49" s="14">
        <f t="shared" si="4"/>
        <v>0</v>
      </c>
      <c r="W49" s="9">
        <f t="shared" si="5"/>
        <v>0</v>
      </c>
      <c r="X49" s="14">
        <f t="shared" si="6"/>
        <v>0</v>
      </c>
      <c r="IN49" s="66"/>
      <c r="IO49" s="66"/>
      <c r="IR49" s="9"/>
    </row>
    <row r="50" spans="1:252" ht="27.75" customHeight="1">
      <c r="A50" s="59"/>
      <c r="B50" s="20"/>
      <c r="C50" s="45"/>
      <c r="D50" s="60"/>
      <c r="E50" s="61" t="s">
        <v>507</v>
      </c>
      <c r="F50" s="61" t="s">
        <v>507</v>
      </c>
      <c r="G50" s="61" t="s">
        <v>507</v>
      </c>
      <c r="H50" s="61" t="s">
        <v>507</v>
      </c>
      <c r="I50" s="61" t="s">
        <v>507</v>
      </c>
      <c r="J50" s="61" t="s">
        <v>507</v>
      </c>
      <c r="K50" s="61" t="s">
        <v>507</v>
      </c>
      <c r="L50" s="45"/>
      <c r="M50" s="62">
        <f t="shared" si="0"/>
        <v>0</v>
      </c>
      <c r="N50" s="63">
        <f t="shared" si="1"/>
        <v>0</v>
      </c>
      <c r="O50" s="64" t="str">
        <f t="shared" si="2"/>
        <v>-</v>
      </c>
      <c r="P50" s="65" t="str">
        <f t="shared" si="3"/>
        <v>-</v>
      </c>
      <c r="Q50" s="20"/>
      <c r="S50" s="66">
        <f aca="true" t="shared" si="10" ref="S50:S61">IF(E50="SCh",1,0)</f>
        <v>0</v>
      </c>
      <c r="T50" s="66" t="str">
        <f t="shared" si="9"/>
        <v>special</v>
      </c>
      <c r="U50" s="14">
        <f ca="1" t="shared" si="8"/>
        <v>0</v>
      </c>
      <c r="V50" s="14">
        <f t="shared" si="4"/>
        <v>0</v>
      </c>
      <c r="W50" s="9">
        <f t="shared" si="5"/>
        <v>0</v>
      </c>
      <c r="X50" s="14">
        <f t="shared" si="6"/>
        <v>0</v>
      </c>
      <c r="IN50" s="66"/>
      <c r="IO50" s="66"/>
      <c r="IR50" s="9"/>
    </row>
    <row r="51" spans="1:24" ht="27.75" customHeight="1">
      <c r="A51" s="59"/>
      <c r="B51" s="20"/>
      <c r="C51" s="45"/>
      <c r="D51" s="60"/>
      <c r="E51" s="61" t="s">
        <v>507</v>
      </c>
      <c r="F51" s="61" t="s">
        <v>507</v>
      </c>
      <c r="G51" s="61" t="s">
        <v>507</v>
      </c>
      <c r="H51" s="61" t="s">
        <v>507</v>
      </c>
      <c r="I51" s="61" t="s">
        <v>507</v>
      </c>
      <c r="J51" s="61" t="s">
        <v>507</v>
      </c>
      <c r="K51" s="61" t="s">
        <v>507</v>
      </c>
      <c r="L51" s="45"/>
      <c r="M51" s="62">
        <f t="shared" si="0"/>
        <v>0</v>
      </c>
      <c r="N51" s="63">
        <f t="shared" si="1"/>
        <v>0</v>
      </c>
      <c r="O51" s="64" t="str">
        <f t="shared" si="2"/>
        <v>-</v>
      </c>
      <c r="P51" s="65" t="str">
        <f t="shared" si="3"/>
        <v>-</v>
      </c>
      <c r="Q51" s="20"/>
      <c r="S51" s="66">
        <f t="shared" si="10"/>
        <v>0</v>
      </c>
      <c r="T51" s="66" t="str">
        <f t="shared" si="9"/>
        <v>special</v>
      </c>
      <c r="U51" s="14">
        <f ca="1" t="shared" si="8"/>
        <v>0</v>
      </c>
      <c r="V51" s="14">
        <f t="shared" si="4"/>
        <v>0</v>
      </c>
      <c r="W51" s="9">
        <f t="shared" si="5"/>
        <v>0</v>
      </c>
      <c r="X51" s="14">
        <f t="shared" si="6"/>
        <v>0</v>
      </c>
    </row>
    <row r="52" spans="1:24" ht="27.75" customHeight="1">
      <c r="A52" s="59"/>
      <c r="B52" s="20"/>
      <c r="C52" s="45"/>
      <c r="D52" s="60"/>
      <c r="E52" s="61" t="s">
        <v>507</v>
      </c>
      <c r="F52" s="61" t="s">
        <v>507</v>
      </c>
      <c r="G52" s="61" t="s">
        <v>507</v>
      </c>
      <c r="H52" s="61" t="s">
        <v>507</v>
      </c>
      <c r="I52" s="61" t="s">
        <v>507</v>
      </c>
      <c r="J52" s="61" t="s">
        <v>507</v>
      </c>
      <c r="K52" s="61" t="s">
        <v>507</v>
      </c>
      <c r="L52" s="45"/>
      <c r="M52" s="62">
        <f t="shared" si="0"/>
        <v>0</v>
      </c>
      <c r="N52" s="63">
        <f t="shared" si="1"/>
        <v>0</v>
      </c>
      <c r="O52" s="64" t="str">
        <f t="shared" si="2"/>
        <v>-</v>
      </c>
      <c r="P52" s="65" t="str">
        <f t="shared" si="3"/>
        <v>-</v>
      </c>
      <c r="Q52" s="20"/>
      <c r="S52" s="66">
        <f t="shared" si="10"/>
        <v>0</v>
      </c>
      <c r="T52" s="66" t="str">
        <f t="shared" si="9"/>
        <v>special</v>
      </c>
      <c r="U52" s="14">
        <f ca="1" t="shared" si="8"/>
        <v>0</v>
      </c>
      <c r="V52" s="14">
        <f t="shared" si="4"/>
        <v>0</v>
      </c>
      <c r="W52" s="9">
        <f t="shared" si="5"/>
        <v>0</v>
      </c>
      <c r="X52" s="14">
        <f t="shared" si="6"/>
        <v>0</v>
      </c>
    </row>
    <row r="53" spans="1:24" ht="27.75" customHeight="1">
      <c r="A53" s="59"/>
      <c r="B53" s="20"/>
      <c r="C53" s="45"/>
      <c r="D53" s="60"/>
      <c r="E53" s="61" t="s">
        <v>507</v>
      </c>
      <c r="F53" s="61" t="s">
        <v>507</v>
      </c>
      <c r="G53" s="61" t="s">
        <v>507</v>
      </c>
      <c r="H53" s="61" t="s">
        <v>507</v>
      </c>
      <c r="I53" s="61" t="s">
        <v>507</v>
      </c>
      <c r="J53" s="61" t="s">
        <v>507</v>
      </c>
      <c r="K53" s="61" t="s">
        <v>507</v>
      </c>
      <c r="L53" s="45"/>
      <c r="M53" s="62">
        <f t="shared" si="0"/>
        <v>0</v>
      </c>
      <c r="N53" s="63">
        <f t="shared" si="1"/>
        <v>0</v>
      </c>
      <c r="O53" s="64" t="str">
        <f t="shared" si="2"/>
        <v>-</v>
      </c>
      <c r="P53" s="65" t="str">
        <f t="shared" si="3"/>
        <v>-</v>
      </c>
      <c r="Q53" s="20"/>
      <c r="S53" s="66">
        <f t="shared" si="10"/>
        <v>0</v>
      </c>
      <c r="T53" s="66" t="str">
        <f t="shared" si="9"/>
        <v>special</v>
      </c>
      <c r="U53" s="14">
        <f ca="1" t="shared" si="8"/>
        <v>0</v>
      </c>
      <c r="V53" s="14">
        <f t="shared" si="4"/>
        <v>0</v>
      </c>
      <c r="W53" s="9">
        <f t="shared" si="5"/>
        <v>0</v>
      </c>
      <c r="X53" s="14">
        <f t="shared" si="6"/>
        <v>0</v>
      </c>
    </row>
    <row r="54" spans="1:24" ht="27.75" customHeight="1">
      <c r="A54" s="59"/>
      <c r="B54" s="20"/>
      <c r="C54" s="45"/>
      <c r="D54" s="60"/>
      <c r="E54" s="61" t="s">
        <v>507</v>
      </c>
      <c r="F54" s="61" t="s">
        <v>507</v>
      </c>
      <c r="G54" s="61" t="s">
        <v>507</v>
      </c>
      <c r="H54" s="61" t="s">
        <v>507</v>
      </c>
      <c r="I54" s="61" t="s">
        <v>507</v>
      </c>
      <c r="J54" s="61" t="s">
        <v>507</v>
      </c>
      <c r="K54" s="61" t="s">
        <v>507</v>
      </c>
      <c r="L54" s="45"/>
      <c r="M54" s="62">
        <f t="shared" si="0"/>
        <v>0</v>
      </c>
      <c r="N54" s="63">
        <f t="shared" si="1"/>
        <v>0</v>
      </c>
      <c r="O54" s="64" t="str">
        <f t="shared" si="2"/>
        <v>-</v>
      </c>
      <c r="P54" s="65" t="str">
        <f t="shared" si="3"/>
        <v>-</v>
      </c>
      <c r="Q54" s="20"/>
      <c r="S54" s="66">
        <f t="shared" si="10"/>
        <v>0</v>
      </c>
      <c r="T54" s="66" t="str">
        <f t="shared" si="9"/>
        <v>special</v>
      </c>
      <c r="U54" s="14">
        <f ca="1" t="shared" si="8"/>
        <v>0</v>
      </c>
      <c r="V54" s="14">
        <f t="shared" si="4"/>
        <v>0</v>
      </c>
      <c r="W54" s="9">
        <f t="shared" si="5"/>
        <v>0</v>
      </c>
      <c r="X54" s="14">
        <f t="shared" si="6"/>
        <v>0</v>
      </c>
    </row>
    <row r="55" spans="1:24" ht="27.75" customHeight="1">
      <c r="A55" s="59"/>
      <c r="B55" s="20"/>
      <c r="C55" s="45"/>
      <c r="D55" s="60"/>
      <c r="E55" s="61" t="s">
        <v>507</v>
      </c>
      <c r="F55" s="61" t="s">
        <v>507</v>
      </c>
      <c r="G55" s="61" t="s">
        <v>507</v>
      </c>
      <c r="H55" s="61" t="s">
        <v>507</v>
      </c>
      <c r="I55" s="61" t="s">
        <v>507</v>
      </c>
      <c r="J55" s="61" t="s">
        <v>507</v>
      </c>
      <c r="K55" s="61" t="s">
        <v>507</v>
      </c>
      <c r="L55" s="45"/>
      <c r="M55" s="62">
        <f t="shared" si="0"/>
        <v>0</v>
      </c>
      <c r="N55" s="63">
        <f t="shared" si="1"/>
        <v>0</v>
      </c>
      <c r="O55" s="64" t="str">
        <f t="shared" si="2"/>
        <v>-</v>
      </c>
      <c r="P55" s="65" t="str">
        <f t="shared" si="3"/>
        <v>-</v>
      </c>
      <c r="Q55" s="20"/>
      <c r="S55" s="66">
        <f t="shared" si="10"/>
        <v>0</v>
      </c>
      <c r="T55" s="66" t="str">
        <f t="shared" si="9"/>
        <v>special</v>
      </c>
      <c r="U55" s="14">
        <f ca="1" t="shared" si="8"/>
        <v>0</v>
      </c>
      <c r="V55" s="14">
        <f t="shared" si="4"/>
        <v>0</v>
      </c>
      <c r="W55" s="9">
        <f t="shared" si="5"/>
        <v>0</v>
      </c>
      <c r="X55" s="14">
        <f t="shared" si="6"/>
        <v>0</v>
      </c>
    </row>
    <row r="56" spans="1:24" ht="27.75" customHeight="1">
      <c r="A56" s="59"/>
      <c r="B56" s="20"/>
      <c r="C56" s="45"/>
      <c r="D56" s="60"/>
      <c r="E56" s="61" t="s">
        <v>507</v>
      </c>
      <c r="F56" s="61" t="s">
        <v>507</v>
      </c>
      <c r="G56" s="61" t="s">
        <v>507</v>
      </c>
      <c r="H56" s="61" t="s">
        <v>507</v>
      </c>
      <c r="I56" s="61" t="s">
        <v>507</v>
      </c>
      <c r="J56" s="61" t="s">
        <v>507</v>
      </c>
      <c r="K56" s="61" t="s">
        <v>507</v>
      </c>
      <c r="L56" s="45"/>
      <c r="M56" s="62">
        <f t="shared" si="0"/>
        <v>0</v>
      </c>
      <c r="N56" s="63">
        <f t="shared" si="1"/>
        <v>0</v>
      </c>
      <c r="O56" s="64" t="str">
        <f t="shared" si="2"/>
        <v>-</v>
      </c>
      <c r="P56" s="65" t="str">
        <f t="shared" si="3"/>
        <v>-</v>
      </c>
      <c r="Q56" s="20"/>
      <c r="S56" s="66">
        <f t="shared" si="10"/>
        <v>0</v>
      </c>
      <c r="T56" s="66" t="str">
        <f t="shared" si="9"/>
        <v>special</v>
      </c>
      <c r="U56" s="14">
        <f ca="1" t="shared" si="8"/>
        <v>0</v>
      </c>
      <c r="V56" s="14">
        <f t="shared" si="4"/>
        <v>0</v>
      </c>
      <c r="W56" s="9">
        <f t="shared" si="5"/>
        <v>0</v>
      </c>
      <c r="X56" s="14">
        <f t="shared" si="6"/>
        <v>0</v>
      </c>
    </row>
    <row r="57" spans="1:24" ht="27.75" customHeight="1">
      <c r="A57" s="59"/>
      <c r="B57" s="20"/>
      <c r="C57" s="45"/>
      <c r="D57" s="60"/>
      <c r="E57" s="61" t="s">
        <v>507</v>
      </c>
      <c r="F57" s="61" t="s">
        <v>507</v>
      </c>
      <c r="G57" s="61" t="s">
        <v>507</v>
      </c>
      <c r="H57" s="61" t="s">
        <v>507</v>
      </c>
      <c r="I57" s="61" t="s">
        <v>507</v>
      </c>
      <c r="J57" s="61" t="s">
        <v>507</v>
      </c>
      <c r="K57" s="61" t="s">
        <v>507</v>
      </c>
      <c r="L57" s="45"/>
      <c r="M57" s="62">
        <f t="shared" si="0"/>
        <v>0</v>
      </c>
      <c r="N57" s="63">
        <f t="shared" si="1"/>
        <v>0</v>
      </c>
      <c r="O57" s="64" t="str">
        <f t="shared" si="2"/>
        <v>-</v>
      </c>
      <c r="P57" s="65" t="str">
        <f t="shared" si="3"/>
        <v>-</v>
      </c>
      <c r="Q57" s="20"/>
      <c r="S57" s="66">
        <f t="shared" si="10"/>
        <v>0</v>
      </c>
      <c r="T57" s="66" t="str">
        <f t="shared" si="9"/>
        <v>special</v>
      </c>
      <c r="U57" s="14">
        <f ca="1" t="shared" si="8"/>
        <v>0</v>
      </c>
      <c r="V57" s="14">
        <f t="shared" si="4"/>
        <v>0</v>
      </c>
      <c r="W57" s="9">
        <f t="shared" si="5"/>
        <v>0</v>
      </c>
      <c r="X57" s="14">
        <f t="shared" si="6"/>
        <v>0</v>
      </c>
    </row>
    <row r="58" spans="1:24" ht="27.75" customHeight="1">
      <c r="A58" s="59"/>
      <c r="B58" s="20"/>
      <c r="C58" s="45"/>
      <c r="D58" s="60"/>
      <c r="E58" s="61" t="s">
        <v>507</v>
      </c>
      <c r="F58" s="61" t="s">
        <v>507</v>
      </c>
      <c r="G58" s="61" t="s">
        <v>507</v>
      </c>
      <c r="H58" s="61" t="s">
        <v>507</v>
      </c>
      <c r="I58" s="61" t="s">
        <v>507</v>
      </c>
      <c r="J58" s="61" t="s">
        <v>507</v>
      </c>
      <c r="K58" s="61" t="s">
        <v>507</v>
      </c>
      <c r="L58" s="45"/>
      <c r="M58" s="62">
        <f t="shared" si="0"/>
        <v>0</v>
      </c>
      <c r="N58" s="63">
        <f t="shared" si="1"/>
        <v>0</v>
      </c>
      <c r="O58" s="64" t="str">
        <f t="shared" si="2"/>
        <v>-</v>
      </c>
      <c r="P58" s="65" t="str">
        <f t="shared" si="3"/>
        <v>-</v>
      </c>
      <c r="Q58" s="20"/>
      <c r="S58" s="66">
        <f t="shared" si="10"/>
        <v>0</v>
      </c>
      <c r="T58" s="66" t="str">
        <f t="shared" si="9"/>
        <v>special</v>
      </c>
      <c r="U58" s="14">
        <f ca="1" t="shared" si="8"/>
        <v>0</v>
      </c>
      <c r="V58" s="14">
        <f t="shared" si="4"/>
        <v>0</v>
      </c>
      <c r="W58" s="9">
        <f t="shared" si="5"/>
        <v>0</v>
      </c>
      <c r="X58" s="14">
        <f t="shared" si="6"/>
        <v>0</v>
      </c>
    </row>
    <row r="59" spans="1:24" ht="27.75" customHeight="1">
      <c r="A59" s="59"/>
      <c r="B59" s="20"/>
      <c r="C59" s="45"/>
      <c r="D59" s="60"/>
      <c r="E59" s="61" t="s">
        <v>507</v>
      </c>
      <c r="F59" s="61" t="s">
        <v>507</v>
      </c>
      <c r="G59" s="61" t="s">
        <v>507</v>
      </c>
      <c r="H59" s="61" t="s">
        <v>507</v>
      </c>
      <c r="I59" s="61" t="s">
        <v>507</v>
      </c>
      <c r="J59" s="61" t="s">
        <v>507</v>
      </c>
      <c r="K59" s="61" t="s">
        <v>507</v>
      </c>
      <c r="L59" s="45"/>
      <c r="M59" s="62">
        <f t="shared" si="0"/>
        <v>0</v>
      </c>
      <c r="N59" s="63">
        <f t="shared" si="1"/>
        <v>0</v>
      </c>
      <c r="O59" s="64" t="str">
        <f t="shared" si="2"/>
        <v>-</v>
      </c>
      <c r="P59" s="65" t="str">
        <f t="shared" si="3"/>
        <v>-</v>
      </c>
      <c r="Q59" s="20"/>
      <c r="S59" s="66">
        <f t="shared" si="10"/>
        <v>0</v>
      </c>
      <c r="T59" s="66" t="str">
        <f t="shared" si="9"/>
        <v>special</v>
      </c>
      <c r="U59" s="14">
        <f ca="1" t="shared" si="8"/>
        <v>0</v>
      </c>
      <c r="V59" s="14">
        <f t="shared" si="4"/>
        <v>0</v>
      </c>
      <c r="W59" s="9">
        <f t="shared" si="5"/>
        <v>0</v>
      </c>
      <c r="X59" s="14">
        <f t="shared" si="6"/>
        <v>0</v>
      </c>
    </row>
    <row r="60" spans="1:24" ht="27.75" customHeight="1">
      <c r="A60" s="59"/>
      <c r="B60" s="20"/>
      <c r="C60" s="45"/>
      <c r="D60" s="60"/>
      <c r="E60" s="61" t="s">
        <v>507</v>
      </c>
      <c r="F60" s="61" t="s">
        <v>507</v>
      </c>
      <c r="G60" s="61" t="s">
        <v>507</v>
      </c>
      <c r="H60" s="61" t="s">
        <v>507</v>
      </c>
      <c r="I60" s="61" t="s">
        <v>507</v>
      </c>
      <c r="J60" s="61" t="s">
        <v>507</v>
      </c>
      <c r="K60" s="61" t="s">
        <v>507</v>
      </c>
      <c r="L60" s="45"/>
      <c r="M60" s="62">
        <f t="shared" si="0"/>
        <v>0</v>
      </c>
      <c r="N60" s="63">
        <f t="shared" si="1"/>
        <v>0</v>
      </c>
      <c r="O60" s="64" t="str">
        <f t="shared" si="2"/>
        <v>-</v>
      </c>
      <c r="P60" s="65" t="str">
        <f t="shared" si="3"/>
        <v>-</v>
      </c>
      <c r="Q60" s="20"/>
      <c r="S60" s="66">
        <f t="shared" si="10"/>
        <v>0</v>
      </c>
      <c r="T60" s="66" t="str">
        <f t="shared" si="9"/>
        <v>special</v>
      </c>
      <c r="U60" s="14">
        <f ca="1" t="shared" si="8"/>
        <v>0</v>
      </c>
      <c r="V60" s="14">
        <f t="shared" si="4"/>
        <v>0</v>
      </c>
      <c r="W60" s="9">
        <f t="shared" si="5"/>
        <v>0</v>
      </c>
      <c r="X60" s="14">
        <f t="shared" si="6"/>
        <v>0</v>
      </c>
    </row>
    <row r="61" spans="1:24" ht="27.75" customHeight="1">
      <c r="A61" s="59"/>
      <c r="B61" s="20"/>
      <c r="C61" s="45"/>
      <c r="D61" s="60"/>
      <c r="E61" s="61" t="s">
        <v>507</v>
      </c>
      <c r="F61" s="61" t="s">
        <v>507</v>
      </c>
      <c r="G61" s="61" t="s">
        <v>507</v>
      </c>
      <c r="H61" s="61" t="s">
        <v>507</v>
      </c>
      <c r="I61" s="61" t="s">
        <v>507</v>
      </c>
      <c r="J61" s="61" t="s">
        <v>507</v>
      </c>
      <c r="K61" s="61" t="s">
        <v>507</v>
      </c>
      <c r="L61" s="45"/>
      <c r="M61" s="62">
        <f t="shared" si="0"/>
        <v>0</v>
      </c>
      <c r="N61" s="63">
        <f t="shared" si="1"/>
        <v>0</v>
      </c>
      <c r="O61" s="64" t="str">
        <f t="shared" si="2"/>
        <v>-</v>
      </c>
      <c r="P61" s="65" t="str">
        <f t="shared" si="3"/>
        <v>-</v>
      </c>
      <c r="Q61" s="20"/>
      <c r="S61" s="66">
        <f t="shared" si="10"/>
        <v>0</v>
      </c>
      <c r="T61" s="66" t="str">
        <f t="shared" si="9"/>
        <v>special</v>
      </c>
      <c r="U61" s="14">
        <f ca="1" t="shared" si="8"/>
        <v>0</v>
      </c>
      <c r="V61" s="14">
        <f t="shared" si="4"/>
        <v>0</v>
      </c>
      <c r="W61" s="9">
        <f t="shared" si="5"/>
        <v>0</v>
      </c>
      <c r="X61" s="14">
        <f t="shared" si="6"/>
        <v>0</v>
      </c>
    </row>
    <row r="62" spans="1:24" ht="28.5" customHeight="1">
      <c r="A62" s="59"/>
      <c r="B62" s="20"/>
      <c r="C62" s="45"/>
      <c r="D62" s="60"/>
      <c r="E62" s="61" t="s">
        <v>507</v>
      </c>
      <c r="F62" s="61" t="s">
        <v>507</v>
      </c>
      <c r="G62" s="61" t="s">
        <v>507</v>
      </c>
      <c r="H62" s="61" t="s">
        <v>507</v>
      </c>
      <c r="I62" s="61" t="s">
        <v>507</v>
      </c>
      <c r="J62" s="61" t="s">
        <v>507</v>
      </c>
      <c r="K62" s="61" t="s">
        <v>507</v>
      </c>
      <c r="L62" s="45"/>
      <c r="M62" s="62">
        <f t="shared" si="0"/>
        <v>0</v>
      </c>
      <c r="N62" s="63">
        <f t="shared" si="1"/>
        <v>0</v>
      </c>
      <c r="O62" s="64" t="str">
        <f t="shared" si="2"/>
        <v>-</v>
      </c>
      <c r="P62" s="65" t="str">
        <f t="shared" si="3"/>
        <v>-</v>
      </c>
      <c r="Q62" s="20"/>
      <c r="S62" s="66">
        <f>IF(E62="SCh",1,0)</f>
        <v>0</v>
      </c>
      <c r="T62" s="66" t="str">
        <f t="shared" si="9"/>
        <v>special</v>
      </c>
      <c r="U62" s="14">
        <f ca="1" t="shared" si="8"/>
        <v>0</v>
      </c>
      <c r="V62" s="14">
        <f t="shared" si="4"/>
        <v>0</v>
      </c>
      <c r="W62" s="9">
        <f t="shared" si="5"/>
        <v>0</v>
      </c>
      <c r="X62" s="14">
        <f t="shared" si="6"/>
        <v>0</v>
      </c>
    </row>
    <row r="63" spans="1:18" ht="5.25" customHeight="1">
      <c r="A63" s="17"/>
      <c r="B63" s="20"/>
      <c r="C63" s="67" t="s">
        <v>507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20"/>
      <c r="R63" s="9"/>
    </row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3.5" customHeight="1"/>
  </sheetData>
  <sheetProtection selectLockedCells="1" selectUnlockedCells="1"/>
  <autoFilter ref="C23:C63"/>
  <mergeCells count="57">
    <mergeCell ref="D22:D23"/>
    <mergeCell ref="E22:H22"/>
    <mergeCell ref="I22:K22"/>
    <mergeCell ref="L22:N22"/>
    <mergeCell ref="O22:P22"/>
    <mergeCell ref="S22:T22"/>
    <mergeCell ref="J17:K17"/>
    <mergeCell ref="H18:I18"/>
    <mergeCell ref="J18:K18"/>
    <mergeCell ref="P18:P20"/>
    <mergeCell ref="E19:G19"/>
    <mergeCell ref="H19:I19"/>
    <mergeCell ref="J19:K19"/>
    <mergeCell ref="E20:G20"/>
    <mergeCell ref="H20:I20"/>
    <mergeCell ref="J20:K20"/>
    <mergeCell ref="C14:P14"/>
    <mergeCell ref="S14:T14"/>
    <mergeCell ref="C15:P15"/>
    <mergeCell ref="C16:D20"/>
    <mergeCell ref="E16:G16"/>
    <mergeCell ref="H16:I16"/>
    <mergeCell ref="J16:K16"/>
    <mergeCell ref="P16:P17"/>
    <mergeCell ref="E17:G18"/>
    <mergeCell ref="H17:I17"/>
    <mergeCell ref="D10:E10"/>
    <mergeCell ref="L10:O10"/>
    <mergeCell ref="D11:E11"/>
    <mergeCell ref="G11:J11"/>
    <mergeCell ref="L11:O11"/>
    <mergeCell ref="D12:E12"/>
    <mergeCell ref="G12:H12"/>
    <mergeCell ref="I12:J12"/>
    <mergeCell ref="L12:O12"/>
    <mergeCell ref="D8:E8"/>
    <mergeCell ref="G8:I8"/>
    <mergeCell ref="L8:O8"/>
    <mergeCell ref="D9:E9"/>
    <mergeCell ref="G9:J9"/>
    <mergeCell ref="L9:O9"/>
    <mergeCell ref="D6:E6"/>
    <mergeCell ref="G6:I6"/>
    <mergeCell ref="L6:O6"/>
    <mergeCell ref="D7:E7"/>
    <mergeCell ref="G7:I7"/>
    <mergeCell ref="L7:O7"/>
    <mergeCell ref="B2:Q2"/>
    <mergeCell ref="C3:P3"/>
    <mergeCell ref="D4:E4"/>
    <mergeCell ref="F4:F12"/>
    <mergeCell ref="G4:J4"/>
    <mergeCell ref="K4:K12"/>
    <mergeCell ref="L4:O4"/>
    <mergeCell ref="D5:E5"/>
    <mergeCell ref="G5:I5"/>
    <mergeCell ref="L5:O5"/>
  </mergeCells>
  <dataValidations count="13">
    <dataValidation type="list" allowBlank="1" showErrorMessage="1" sqref="G10:J10 E21:G21">
      <formula1>Terrain</formula1>
      <formula2>0</formula2>
    </dataValidation>
    <dataValidation type="list" allowBlank="1" showErrorMessage="1" sqref="G6:I6">
      <formula1>livret</formula1>
      <formula2>0</formula2>
    </dataValidation>
    <dataValidation type="list" allowBlank="1" showErrorMessage="1" sqref="L12">
      <formula1>Language_choices</formula1>
      <formula2>0</formula2>
    </dataValidation>
    <dataValidation type="list" allowBlank="1" showErrorMessage="1" sqref="L18:L20 M20 K21:L21">
      <formula1>Ally</formula1>
      <formula2>0</formula2>
    </dataValidation>
    <dataValidation type="list" allowBlank="1" showErrorMessage="1" sqref="J17:K20 H21:J21">
      <formula1>type_de_commandant</formula1>
      <formula2>0</formula2>
    </dataValidation>
    <dataValidation type="list" allowBlank="1" showErrorMessage="1" sqref="J24:J62">
      <formula1>Combat</formula1>
      <formula2>0</formula2>
    </dataValidation>
    <dataValidation type="list" allowBlank="1" showErrorMessage="1" sqref="K24:K62">
      <formula1>Divers</formula1>
      <formula2>0</formula2>
    </dataValidation>
    <dataValidation type="list" allowBlank="1" showErrorMessage="1" sqref="I24:I62">
      <formula1>Tir</formula1>
      <formula2>0</formula2>
    </dataValidation>
    <dataValidation type="list" allowBlank="1" showErrorMessage="1" sqref="F24:F62">
      <formula1>Armure</formula1>
      <formula2>0</formula2>
    </dataValidation>
    <dataValidation type="list" allowBlank="1" showErrorMessage="1" sqref="E24:E62">
      <formula1>Type</formula1>
      <formula2>0</formula2>
    </dataValidation>
    <dataValidation type="list" allowBlank="1" showErrorMessage="1" sqref="G24:G62">
      <formula1>Quality</formula1>
      <formula2>0</formula2>
    </dataValidation>
    <dataValidation type="list" allowBlank="1" showErrorMessage="1" sqref="H24:H62">
      <formula1>Training</formula1>
      <formula2>0</formula2>
    </dataValidation>
    <dataValidation type="list" allowBlank="1" showErrorMessage="1" sqref="K13:L13 E17:G17 F18:G18">
      <formula1>camp</formula1>
      <formula2>0</formula2>
    </dataValidation>
  </dataValidations>
  <hyperlinks>
    <hyperlink ref="D10" r:id="rId1" display="alan.cutner@gmail.com"/>
  </hyperlinks>
  <printOptions horizontalCentered="1" verticalCentered="1"/>
  <pageMargins left="0.19652777777777777" right="0.19652777777777777" top="0.19652777777777777" bottom="0.5513888888888889" header="0.5118055555555555" footer="0.11805555555555555"/>
  <pageSetup fitToHeight="1" fitToWidth="1" horizontalDpi="300" verticalDpi="300" orientation="landscape" paperSize="9"/>
  <headerFooter alignWithMargins="0">
    <oddFooter>&amp;LConcept: Olivier
Design: Richlove Olivier&amp;C&amp;F&amp;R&amp;D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126"/>
  <sheetViews>
    <sheetView showGridLines="0" zoomScalePageLayoutView="0" workbookViewId="0" topLeftCell="N1">
      <selection activeCell="HL6" sqref="HL6"/>
    </sheetView>
  </sheetViews>
  <sheetFormatPr defaultColWidth="11.421875" defaultRowHeight="12.75" customHeight="1"/>
  <cols>
    <col min="1" max="1" width="18.140625" style="0" customWidth="1"/>
    <col min="2" max="2" width="21.421875" style="0" customWidth="1"/>
    <col min="3" max="3" width="5.8515625" style="0" customWidth="1"/>
    <col min="4" max="4" width="16.28125" style="0" customWidth="1"/>
    <col min="5" max="5" width="9.8515625" style="0" customWidth="1"/>
    <col min="6" max="6" width="8.57421875" style="0" customWidth="1"/>
    <col min="7" max="7" width="13.57421875" style="0" customWidth="1"/>
    <col min="8" max="8" width="11.28125" style="0" customWidth="1"/>
    <col min="9" max="9" width="4.8515625" style="0" customWidth="1"/>
    <col min="10" max="10" width="28.00390625" style="69" customWidth="1"/>
    <col min="11" max="11" width="3.421875" style="70" customWidth="1"/>
    <col min="12" max="12" width="11.421875" style="0" customWidth="1"/>
    <col min="13" max="13" width="17.140625" style="0" customWidth="1"/>
    <col min="14" max="14" width="7.7109375" style="0" customWidth="1"/>
    <col min="15" max="15" width="2.57421875" style="0" customWidth="1"/>
    <col min="16" max="16" width="3.00390625" style="0" customWidth="1"/>
    <col min="17" max="17" width="37.140625" style="0" customWidth="1"/>
    <col min="18" max="18" width="2.28125" style="0" customWidth="1"/>
    <col min="19" max="28" width="3.7109375" style="0" customWidth="1"/>
    <col min="29" max="29" width="9.57421875" style="0" customWidth="1"/>
    <col min="30" max="30" width="11.28125" style="0" customWidth="1"/>
    <col min="31" max="31" width="11.421875" style="0" customWidth="1"/>
    <col min="32" max="32" width="36.7109375" style="71" customWidth="1"/>
    <col min="33" max="54" width="13.00390625" style="0" customWidth="1"/>
    <col min="55" max="55" width="3.421875" style="0" customWidth="1"/>
    <col min="56" max="60" width="11.421875" style="0" customWidth="1"/>
    <col min="61" max="61" width="2.28125" style="0" customWidth="1"/>
    <col min="62" max="62" width="7.28125" style="0" customWidth="1"/>
    <col min="63" max="64" width="2.28125" style="0" customWidth="1"/>
    <col min="65" max="65" width="7.7109375" style="0" customWidth="1"/>
    <col min="66" max="66" width="2.28125" style="0" customWidth="1"/>
    <col min="67" max="67" width="11.421875" style="0" customWidth="1"/>
    <col min="68" max="68" width="21.421875" style="0" customWidth="1"/>
    <col min="69" max="69" width="2.00390625" style="0" customWidth="1"/>
    <col min="70" max="70" width="2.28125" style="0" customWidth="1"/>
    <col min="71" max="71" width="14.57421875" style="0" customWidth="1"/>
    <col min="72" max="72" width="34.57421875" style="0" customWidth="1"/>
    <col min="73" max="77" width="36.140625" style="0" customWidth="1"/>
    <col min="78" max="81" width="32.421875" style="0" customWidth="1"/>
    <col min="82" max="82" width="23.28125" style="0" customWidth="1"/>
    <col min="83" max="84" width="22.421875" style="0" customWidth="1"/>
    <col min="85" max="87" width="28.7109375" style="0" customWidth="1"/>
    <col min="88" max="91" width="35.57421875" style="0" customWidth="1"/>
    <col min="92" max="98" width="34.8515625" style="0" customWidth="1"/>
    <col min="99" max="100" width="29.28125" style="0" customWidth="1"/>
    <col min="101" max="101" width="15.7109375" style="0" customWidth="1"/>
    <col min="102" max="102" width="21.00390625" style="0" customWidth="1"/>
    <col min="103" max="104" width="22.57421875" style="0" customWidth="1"/>
    <col min="105" max="107" width="25.421875" style="0" customWidth="1"/>
    <col min="108" max="109" width="22.28125" style="0" customWidth="1"/>
    <col min="110" max="114" width="53.8515625" style="0" customWidth="1"/>
    <col min="115" max="115" width="27.140625" style="0" customWidth="1"/>
    <col min="116" max="118" width="22.57421875" style="0" customWidth="1"/>
    <col min="119" max="121" width="27.7109375" style="0" customWidth="1"/>
    <col min="122" max="123" width="25.140625" style="0" customWidth="1"/>
    <col min="124" max="125" width="50.57421875" style="0" customWidth="1"/>
    <col min="126" max="126" width="70.57421875" style="0" customWidth="1"/>
    <col min="127" max="128" width="69.140625" style="0" customWidth="1"/>
    <col min="129" max="130" width="53.7109375" style="0" customWidth="1"/>
    <col min="131" max="133" width="33.7109375" style="0" customWidth="1"/>
    <col min="134" max="134" width="31.140625" style="0" customWidth="1"/>
    <col min="135" max="135" width="20.7109375" style="0" customWidth="1"/>
    <col min="136" max="138" width="18.7109375" style="0" customWidth="1"/>
    <col min="139" max="139" width="19.7109375" style="0" customWidth="1"/>
    <col min="140" max="143" width="22.57421875" style="0" customWidth="1"/>
    <col min="144" max="144" width="31.57421875" style="0" customWidth="1"/>
    <col min="145" max="145" width="32.00390625" style="0" customWidth="1"/>
    <col min="146" max="148" width="31.57421875" style="0" customWidth="1"/>
    <col min="149" max="149" width="30.57421875" style="0" customWidth="1"/>
    <col min="150" max="150" width="39.28125" style="0" customWidth="1"/>
    <col min="151" max="152" width="37.8515625" style="0" customWidth="1"/>
    <col min="153" max="156" width="22.28125" style="0" customWidth="1"/>
    <col min="157" max="157" width="22.7109375" style="0" customWidth="1"/>
    <col min="158" max="160" width="3.421875" style="0" customWidth="1"/>
    <col min="161" max="161" width="12.140625" style="0" customWidth="1"/>
    <col min="162" max="164" width="19.140625" style="0" customWidth="1"/>
    <col min="165" max="165" width="14.28125" style="0" customWidth="1"/>
    <col min="166" max="166" width="17.8515625" style="0" customWidth="1"/>
    <col min="167" max="168" width="17.140625" style="0" customWidth="1"/>
    <col min="169" max="171" width="14.57421875" style="0" customWidth="1"/>
    <col min="172" max="175" width="19.8515625" style="0" customWidth="1"/>
    <col min="176" max="178" width="14.140625" style="0" customWidth="1"/>
    <col min="179" max="181" width="14.28125" style="0" customWidth="1"/>
    <col min="182" max="184" width="23.8515625" style="0" customWidth="1"/>
    <col min="185" max="190" width="30.57421875" style="0" customWidth="1"/>
    <col min="191" max="191" width="11.7109375" style="0" customWidth="1"/>
    <col min="192" max="196" width="15.421875" style="0" customWidth="1"/>
    <col min="197" max="197" width="22.140625" style="0" customWidth="1"/>
    <col min="198" max="198" width="12.00390625" style="0" customWidth="1"/>
    <col min="199" max="199" width="22.140625" style="0" customWidth="1"/>
    <col min="200" max="202" width="25.57421875" style="0" customWidth="1"/>
    <col min="203" max="207" width="12.57421875" style="0" customWidth="1"/>
    <col min="208" max="208" width="16.28125" style="0" customWidth="1"/>
    <col min="209" max="209" width="11.7109375" style="0" customWidth="1"/>
    <col min="210" max="210" width="16.28125" style="0" customWidth="1"/>
    <col min="211" max="217" width="12.28125" style="0" customWidth="1"/>
  </cols>
  <sheetData>
    <row r="1" spans="1:18" ht="12.75" customHeight="1">
      <c r="A1" t="s">
        <v>516</v>
      </c>
      <c r="B1" t="str">
        <f>"Traduction!$A$1:"&amp;ADDRESS(COUNTA(Traduction!A:A),COUNTA(Language_choices),1,TRUE)</f>
        <v>Traduction!$A$1:$E$105</v>
      </c>
      <c r="J1"/>
      <c r="K1" s="69"/>
      <c r="L1" s="70"/>
      <c r="Q1" s="72" t="s">
        <v>517</v>
      </c>
      <c r="R1" s="73"/>
    </row>
    <row r="2" spans="1:218" ht="12.75" customHeight="1">
      <c r="A2" t="s">
        <v>518</v>
      </c>
      <c r="B2" s="14" t="s">
        <v>519</v>
      </c>
      <c r="Q2" s="74" t="str">
        <f ca="1">CONCATENATE("BWG"," ",VLOOKUP("Heavy weapon",Zone_Traduction,ref_langue,FALSE))</f>
        <v>BWG Heavy Weapon</v>
      </c>
      <c r="R2" s="75">
        <v>6</v>
      </c>
      <c r="AG2">
        <v>1</v>
      </c>
      <c r="AH2">
        <v>2</v>
      </c>
      <c r="AI2">
        <v>3</v>
      </c>
      <c r="AJ2">
        <v>4</v>
      </c>
      <c r="AK2">
        <v>5</v>
      </c>
      <c r="AL2">
        <v>6</v>
      </c>
      <c r="AM2">
        <v>7</v>
      </c>
      <c r="AN2">
        <v>8</v>
      </c>
      <c r="AO2">
        <v>9</v>
      </c>
      <c r="AP2">
        <v>10</v>
      </c>
      <c r="AQ2">
        <v>11</v>
      </c>
      <c r="AR2">
        <v>12</v>
      </c>
      <c r="AS2">
        <v>13</v>
      </c>
      <c r="AT2">
        <v>14</v>
      </c>
      <c r="AU2">
        <v>15</v>
      </c>
      <c r="AV2">
        <v>16</v>
      </c>
      <c r="AW2">
        <v>17</v>
      </c>
      <c r="AX2">
        <v>18</v>
      </c>
      <c r="AY2">
        <v>19</v>
      </c>
      <c r="AZ2">
        <v>20</v>
      </c>
      <c r="BA2">
        <v>21</v>
      </c>
      <c r="BB2">
        <v>22</v>
      </c>
      <c r="BC2">
        <v>23</v>
      </c>
      <c r="BP2" s="76" t="s">
        <v>520</v>
      </c>
      <c r="BQ2" s="77" t="s">
        <v>507</v>
      </c>
      <c r="BR2" s="78">
        <v>3</v>
      </c>
      <c r="BS2" s="78">
        <v>4</v>
      </c>
      <c r="BT2" s="78">
        <v>5</v>
      </c>
      <c r="BU2" s="78">
        <v>6</v>
      </c>
      <c r="BV2" s="78">
        <v>7</v>
      </c>
      <c r="BW2" s="78">
        <v>8</v>
      </c>
      <c r="BX2" s="78">
        <v>9</v>
      </c>
      <c r="BY2" s="78">
        <v>10</v>
      </c>
      <c r="BZ2" s="78">
        <v>11</v>
      </c>
      <c r="CA2" s="78">
        <v>12</v>
      </c>
      <c r="CB2" s="78">
        <v>13</v>
      </c>
      <c r="CC2" s="78">
        <v>14</v>
      </c>
      <c r="CD2" s="78">
        <v>15</v>
      </c>
      <c r="CE2" s="78">
        <v>16</v>
      </c>
      <c r="CF2" s="78">
        <v>17</v>
      </c>
      <c r="CG2" s="78">
        <v>18</v>
      </c>
      <c r="CH2" s="78">
        <v>19</v>
      </c>
      <c r="CI2" s="78">
        <v>20</v>
      </c>
      <c r="CJ2" s="78">
        <v>21</v>
      </c>
      <c r="CK2" s="78">
        <v>22</v>
      </c>
      <c r="CL2" s="78">
        <v>23</v>
      </c>
      <c r="CM2" s="78">
        <v>24</v>
      </c>
      <c r="CN2" s="78">
        <v>25</v>
      </c>
      <c r="CO2" s="78">
        <v>26</v>
      </c>
      <c r="CP2" s="78">
        <v>27</v>
      </c>
      <c r="CQ2" s="78">
        <v>28</v>
      </c>
      <c r="CR2" s="78">
        <v>29</v>
      </c>
      <c r="CS2" s="78">
        <v>30</v>
      </c>
      <c r="CT2" s="78">
        <v>31</v>
      </c>
      <c r="CU2" s="78">
        <v>32</v>
      </c>
      <c r="CV2" s="78">
        <v>33</v>
      </c>
      <c r="CW2" s="78">
        <v>34</v>
      </c>
      <c r="CX2" s="78">
        <v>35</v>
      </c>
      <c r="CY2" s="78">
        <v>36</v>
      </c>
      <c r="CZ2" s="78">
        <v>37</v>
      </c>
      <c r="DA2" s="78">
        <v>38</v>
      </c>
      <c r="DB2" s="78">
        <v>39</v>
      </c>
      <c r="DC2" s="78">
        <v>40</v>
      </c>
      <c r="DD2" s="78">
        <v>41</v>
      </c>
      <c r="DE2" s="78">
        <v>42</v>
      </c>
      <c r="DF2" s="78">
        <v>43</v>
      </c>
      <c r="DG2" s="78">
        <v>44</v>
      </c>
      <c r="DH2" s="78">
        <v>45</v>
      </c>
      <c r="DI2" s="78">
        <v>46</v>
      </c>
      <c r="DJ2" s="78">
        <v>47</v>
      </c>
      <c r="DK2" s="78">
        <v>48</v>
      </c>
      <c r="DL2" s="78">
        <v>49</v>
      </c>
      <c r="DM2" s="78">
        <v>50</v>
      </c>
      <c r="DN2" s="78">
        <v>51</v>
      </c>
      <c r="DO2" s="78">
        <v>52</v>
      </c>
      <c r="DP2" s="78">
        <v>53</v>
      </c>
      <c r="DQ2" s="78">
        <v>54</v>
      </c>
      <c r="DR2" s="78">
        <v>55</v>
      </c>
      <c r="DS2" s="78">
        <v>56</v>
      </c>
      <c r="DT2" s="78">
        <v>57</v>
      </c>
      <c r="DU2" s="78">
        <v>58</v>
      </c>
      <c r="DV2" s="78">
        <v>59</v>
      </c>
      <c r="DW2" s="78">
        <v>60</v>
      </c>
      <c r="DX2" s="78">
        <v>61</v>
      </c>
      <c r="DY2" s="78">
        <v>62</v>
      </c>
      <c r="DZ2" s="78">
        <v>63</v>
      </c>
      <c r="EA2" s="78">
        <v>64</v>
      </c>
      <c r="EB2" s="78">
        <v>65</v>
      </c>
      <c r="EC2" s="78">
        <v>66</v>
      </c>
      <c r="ED2" s="78">
        <v>67</v>
      </c>
      <c r="EE2" s="78">
        <v>68</v>
      </c>
      <c r="EF2" s="78">
        <v>69</v>
      </c>
      <c r="EG2" s="78">
        <v>70</v>
      </c>
      <c r="EH2" s="78">
        <v>71</v>
      </c>
      <c r="EI2" s="78">
        <v>72</v>
      </c>
      <c r="EJ2" s="78">
        <v>73</v>
      </c>
      <c r="EK2" s="78">
        <v>74</v>
      </c>
      <c r="EL2" s="78">
        <v>75</v>
      </c>
      <c r="EM2" s="78">
        <v>76</v>
      </c>
      <c r="EN2" s="78">
        <v>77</v>
      </c>
      <c r="EO2" s="78">
        <v>78</v>
      </c>
      <c r="EP2" s="78">
        <v>79</v>
      </c>
      <c r="EQ2" s="78">
        <v>80</v>
      </c>
      <c r="ER2" s="78">
        <v>81</v>
      </c>
      <c r="ES2" s="78">
        <v>82</v>
      </c>
      <c r="ET2" s="78">
        <v>83</v>
      </c>
      <c r="EU2" s="78">
        <v>84</v>
      </c>
      <c r="EV2" s="79">
        <v>85</v>
      </c>
      <c r="EW2" s="78">
        <v>86</v>
      </c>
      <c r="EX2" s="79">
        <v>87</v>
      </c>
      <c r="EY2" s="78">
        <v>88</v>
      </c>
      <c r="EZ2" s="79">
        <v>89</v>
      </c>
      <c r="FA2" s="78">
        <v>90</v>
      </c>
      <c r="FB2" s="79">
        <v>91</v>
      </c>
      <c r="FC2" s="78">
        <v>92</v>
      </c>
      <c r="FD2" s="79">
        <v>93</v>
      </c>
      <c r="FE2" s="78">
        <v>94</v>
      </c>
      <c r="FF2" s="78">
        <v>95</v>
      </c>
      <c r="FG2" s="79">
        <v>96</v>
      </c>
      <c r="FH2" s="78">
        <v>97</v>
      </c>
      <c r="FI2" s="79">
        <v>98</v>
      </c>
      <c r="FJ2" s="78">
        <v>99</v>
      </c>
      <c r="FK2" s="79">
        <v>100</v>
      </c>
      <c r="FL2" s="78">
        <v>101</v>
      </c>
      <c r="FM2" s="79">
        <v>102</v>
      </c>
      <c r="FN2" s="78">
        <v>103</v>
      </c>
      <c r="FO2" s="79">
        <v>104</v>
      </c>
      <c r="FP2" s="78">
        <v>105</v>
      </c>
      <c r="FQ2" s="78">
        <v>106</v>
      </c>
      <c r="FR2" s="79">
        <v>107</v>
      </c>
      <c r="FS2" s="78">
        <v>108</v>
      </c>
      <c r="FT2" s="79">
        <v>109</v>
      </c>
      <c r="FU2" s="78">
        <v>110</v>
      </c>
      <c r="FV2" s="79">
        <v>111</v>
      </c>
      <c r="FW2" s="78">
        <v>112</v>
      </c>
      <c r="FX2" s="79">
        <v>113</v>
      </c>
      <c r="FY2" s="78">
        <v>114</v>
      </c>
      <c r="FZ2" s="79">
        <v>115</v>
      </c>
      <c r="GA2" s="78">
        <v>116</v>
      </c>
      <c r="GB2" s="79">
        <v>117</v>
      </c>
      <c r="GC2" s="78">
        <v>118</v>
      </c>
      <c r="GD2" s="79">
        <v>119</v>
      </c>
      <c r="GE2" s="78">
        <v>120</v>
      </c>
      <c r="GF2" s="79">
        <v>121</v>
      </c>
      <c r="GG2" s="78">
        <v>122</v>
      </c>
      <c r="GH2" s="79">
        <v>123</v>
      </c>
      <c r="GI2" s="78">
        <v>124</v>
      </c>
      <c r="GJ2" s="79">
        <v>125</v>
      </c>
      <c r="GK2" s="78">
        <v>126</v>
      </c>
      <c r="GL2" s="79">
        <v>127</v>
      </c>
      <c r="GM2" s="78">
        <v>128</v>
      </c>
      <c r="GN2" s="79">
        <v>129</v>
      </c>
      <c r="GO2" s="78">
        <v>130</v>
      </c>
      <c r="GP2" s="79">
        <v>131</v>
      </c>
      <c r="GQ2" s="78">
        <v>132</v>
      </c>
      <c r="GR2" s="79">
        <v>133</v>
      </c>
      <c r="GS2" s="78">
        <v>134</v>
      </c>
      <c r="GT2" s="79">
        <v>135</v>
      </c>
      <c r="GU2" s="78">
        <v>136</v>
      </c>
      <c r="GV2" s="79">
        <v>137</v>
      </c>
      <c r="GW2" s="78">
        <v>138</v>
      </c>
      <c r="GX2" s="79">
        <v>139</v>
      </c>
      <c r="GY2" s="78">
        <v>140</v>
      </c>
      <c r="GZ2" s="79">
        <v>141</v>
      </c>
      <c r="HA2" s="78">
        <v>142</v>
      </c>
      <c r="HB2" s="79">
        <v>143</v>
      </c>
      <c r="HC2" s="78">
        <v>144</v>
      </c>
      <c r="HD2" s="79">
        <v>145</v>
      </c>
      <c r="HE2" s="78">
        <v>146</v>
      </c>
      <c r="HF2" s="79">
        <v>147</v>
      </c>
      <c r="HG2" s="78">
        <v>148</v>
      </c>
      <c r="HH2" s="79">
        <v>149</v>
      </c>
      <c r="HI2" s="78">
        <v>150</v>
      </c>
      <c r="HJ2" s="79">
        <v>151</v>
      </c>
    </row>
    <row r="3" spans="2:182" ht="12.75" customHeight="1">
      <c r="B3" s="80"/>
      <c r="C3" s="81" t="str">
        <f ca="1">VLOOKUP("Elite",Zone_Traduction,ref_langue,FALSE)</f>
        <v>Elite</v>
      </c>
      <c r="D3" s="81" t="str">
        <f ca="1">VLOOKUP("Superior",Zone_Traduction,ref_langue,FALSE)</f>
        <v>Superior</v>
      </c>
      <c r="E3" s="81" t="str">
        <f ca="1">VLOOKUP("Average",Zone_Traduction,ref_langue,FALSE)</f>
        <v>Average</v>
      </c>
      <c r="F3" s="81" t="str">
        <f ca="1">VLOOKUP("Poor",Zone_Traduction,ref_langue,FALSE)</f>
        <v>Poor</v>
      </c>
      <c r="G3" s="81" t="str">
        <f ca="1">VLOOKUP("Drilled",Zone_Traduction,ref_langue,FALSE)</f>
        <v>Drilled</v>
      </c>
      <c r="H3" s="82" t="s">
        <v>507</v>
      </c>
      <c r="Q3" s="74" t="str">
        <f ca="1">CONCATENATE("BWG"," ",VLOOKUP("Swordsmen",Zone_Traduction,ref_langue,FALSE))</f>
        <v>BWG Swordsmen</v>
      </c>
      <c r="R3" s="75">
        <v>3</v>
      </c>
      <c r="AF3" s="71">
        <v>1</v>
      </c>
      <c r="AG3">
        <v>10</v>
      </c>
      <c r="BK3" s="9">
        <f>IF('Liste Armée'!$L17="CinC",VLOOKUP('Liste Armée'!$J17,table_general,2,FALSE),0)</f>
        <v>1</v>
      </c>
      <c r="BP3" s="83" t="s">
        <v>507</v>
      </c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84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84"/>
    </row>
    <row r="4" spans="1:182" ht="12.75" customHeight="1">
      <c r="A4" s="70" t="s">
        <v>521</v>
      </c>
      <c r="B4" s="74" t="str">
        <f ca="1">CONCATENATE("HF"," ",VLOOKUP("Heavily armoured",Zone_Traduction,ref_langue,FALSE))</f>
        <v>HF Heavily Armoured</v>
      </c>
      <c r="C4" s="28">
        <v>15</v>
      </c>
      <c r="D4" s="28">
        <v>12</v>
      </c>
      <c r="E4" s="28">
        <v>9</v>
      </c>
      <c r="F4" s="28"/>
      <c r="G4" s="28">
        <v>2</v>
      </c>
      <c r="H4" s="84">
        <v>0</v>
      </c>
      <c r="J4" s="85" t="s">
        <v>522</v>
      </c>
      <c r="K4" s="82"/>
      <c r="M4" t="s">
        <v>402</v>
      </c>
      <c r="Q4" s="74" t="str">
        <f ca="1">CONCATENATE("infanterie"," ",VLOOKUP("defensive spearmen",Zone_Traduction,ref_langue,FALSE))</f>
        <v>infanterie Defensive Spearmen</v>
      </c>
      <c r="R4" s="75">
        <v>1</v>
      </c>
      <c r="AF4" s="71">
        <v>2</v>
      </c>
      <c r="AG4" s="86">
        <f aca="true" t="shared" si="0" ref="AG4:AN11">(AG$2/$AF4)*5</f>
        <v>2.5</v>
      </c>
      <c r="AH4">
        <v>10</v>
      </c>
      <c r="BP4" s="76" t="s">
        <v>523</v>
      </c>
      <c r="BQ4" s="87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84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84"/>
    </row>
    <row r="5" spans="1:187" ht="12.75" customHeight="1">
      <c r="A5" s="70" t="s">
        <v>521</v>
      </c>
      <c r="B5" s="74" t="str">
        <f ca="1">CONCATENATE("HF"," ",VLOOKUP("Armoured",Zone_Traduction,ref_langue,FALSE))</f>
        <v>HF Armoured</v>
      </c>
      <c r="C5" s="28">
        <v>13</v>
      </c>
      <c r="D5" s="28">
        <v>10</v>
      </c>
      <c r="E5" s="28">
        <v>7</v>
      </c>
      <c r="F5" s="28">
        <v>5</v>
      </c>
      <c r="G5" s="28">
        <v>1</v>
      </c>
      <c r="H5" s="84">
        <v>0</v>
      </c>
      <c r="J5" s="74" t="str">
        <f ca="1">CONCATENATE("infanterie"," ",VLOOKUP("Longbow",Zone_Traduction,ref_langue,FALSE))</f>
        <v>infanterie Longbow</v>
      </c>
      <c r="K5" s="88">
        <v>2</v>
      </c>
      <c r="M5" s="89" t="str">
        <f ca="1">VLOOKUP("Camelry",Zone_Traduction,ref_langue,FALSE)</f>
        <v>Camelry</v>
      </c>
      <c r="N5" s="73">
        <v>2</v>
      </c>
      <c r="Q5" s="74" t="str">
        <f ca="1">CONCATENATE("infanterie"," ",VLOOKUP("Heavy weapon",Zone_Traduction,ref_langue,FALSE))</f>
        <v>infanterie Heavy Weapon</v>
      </c>
      <c r="R5" s="75">
        <v>2</v>
      </c>
      <c r="AF5" s="71">
        <v>3</v>
      </c>
      <c r="AG5" s="86">
        <f t="shared" si="0"/>
        <v>1.6666666666666665</v>
      </c>
      <c r="AH5" s="86">
        <f t="shared" si="0"/>
        <v>3.333333333333333</v>
      </c>
      <c r="AI5">
        <v>10</v>
      </c>
      <c r="BI5" s="14"/>
      <c r="BJ5" s="24"/>
      <c r="BK5" s="24"/>
      <c r="BL5" s="24"/>
      <c r="BM5" s="90">
        <f>SUM(BM13:BM38)</f>
        <v>0</v>
      </c>
      <c r="BN5" s="24"/>
      <c r="BP5" s="76" t="s">
        <v>524</v>
      </c>
      <c r="BQ5" s="28"/>
      <c r="BR5" s="28"/>
      <c r="BS5" s="28"/>
      <c r="BT5" s="28"/>
      <c r="BU5" s="17" t="s">
        <v>525</v>
      </c>
      <c r="BV5" s="17" t="s">
        <v>525</v>
      </c>
      <c r="BW5" s="17" t="s">
        <v>525</v>
      </c>
      <c r="BX5" s="17" t="s">
        <v>525</v>
      </c>
      <c r="BY5" s="17" t="s">
        <v>525</v>
      </c>
      <c r="BZ5" s="28" t="s">
        <v>526</v>
      </c>
      <c r="CA5" s="28" t="s">
        <v>526</v>
      </c>
      <c r="CB5" s="28" t="s">
        <v>527</v>
      </c>
      <c r="CC5" s="28" t="s">
        <v>527</v>
      </c>
      <c r="CD5" s="28" t="s">
        <v>528</v>
      </c>
      <c r="CE5" s="17" t="s">
        <v>529</v>
      </c>
      <c r="CF5" s="17" t="s">
        <v>529</v>
      </c>
      <c r="CG5" s="17" t="s">
        <v>530</v>
      </c>
      <c r="CH5" s="17" t="s">
        <v>530</v>
      </c>
      <c r="CI5" s="17" t="s">
        <v>531</v>
      </c>
      <c r="CJ5" s="17" t="s">
        <v>531</v>
      </c>
      <c r="CK5" s="28" t="s">
        <v>532</v>
      </c>
      <c r="CL5" s="28" t="s">
        <v>532</v>
      </c>
      <c r="CM5" s="28" t="s">
        <v>532</v>
      </c>
      <c r="CN5" s="28" t="s">
        <v>532</v>
      </c>
      <c r="CO5" s="28" t="s">
        <v>533</v>
      </c>
      <c r="CP5" s="28" t="s">
        <v>533</v>
      </c>
      <c r="CQ5" s="28" t="s">
        <v>534</v>
      </c>
      <c r="CR5" s="28" t="s">
        <v>534</v>
      </c>
      <c r="CS5" s="28" t="s">
        <v>535</v>
      </c>
      <c r="CT5" s="28" t="s">
        <v>535</v>
      </c>
      <c r="CU5" s="28" t="s">
        <v>536</v>
      </c>
      <c r="CV5" s="28" t="s">
        <v>536</v>
      </c>
      <c r="CW5" s="28" t="s">
        <v>536</v>
      </c>
      <c r="CX5" s="28" t="s">
        <v>536</v>
      </c>
      <c r="CY5" s="28" t="s">
        <v>537</v>
      </c>
      <c r="CZ5" s="28" t="s">
        <v>537</v>
      </c>
      <c r="DA5" s="17" t="s">
        <v>538</v>
      </c>
      <c r="DB5" s="17" t="s">
        <v>538</v>
      </c>
      <c r="DC5" s="17" t="s">
        <v>538</v>
      </c>
      <c r="DD5" s="17" t="s">
        <v>538</v>
      </c>
      <c r="DE5" s="17" t="s">
        <v>538</v>
      </c>
      <c r="DF5" s="28" t="s">
        <v>539</v>
      </c>
      <c r="DG5" s="28" t="s">
        <v>539</v>
      </c>
      <c r="DH5" s="28" t="s">
        <v>539</v>
      </c>
      <c r="DI5" s="28" t="s">
        <v>539</v>
      </c>
      <c r="DJ5" s="28" t="s">
        <v>539</v>
      </c>
      <c r="DK5" s="28" t="s">
        <v>540</v>
      </c>
      <c r="DL5" s="28" t="s">
        <v>540</v>
      </c>
      <c r="DM5" s="28" t="s">
        <v>540</v>
      </c>
      <c r="DN5" s="28" t="s">
        <v>540</v>
      </c>
      <c r="DO5" s="28" t="s">
        <v>540</v>
      </c>
      <c r="DP5" s="28" t="s">
        <v>540</v>
      </c>
      <c r="DQ5" s="28" t="s">
        <v>541</v>
      </c>
      <c r="DR5" s="28" t="s">
        <v>541</v>
      </c>
      <c r="DS5" s="28" t="s">
        <v>541</v>
      </c>
      <c r="DT5" s="28" t="s">
        <v>542</v>
      </c>
      <c r="DU5" s="28" t="s">
        <v>542</v>
      </c>
      <c r="DV5" s="28" t="s">
        <v>542</v>
      </c>
      <c r="DW5" s="28" t="s">
        <v>543</v>
      </c>
      <c r="DX5" s="28" t="s">
        <v>543</v>
      </c>
      <c r="DY5" s="28" t="s">
        <v>544</v>
      </c>
      <c r="DZ5" s="28" t="s">
        <v>544</v>
      </c>
      <c r="EA5" s="28" t="s">
        <v>544</v>
      </c>
      <c r="EB5" s="28" t="s">
        <v>544</v>
      </c>
      <c r="EC5" s="28" t="s">
        <v>545</v>
      </c>
      <c r="ED5" s="28" t="s">
        <v>545</v>
      </c>
      <c r="EE5" s="28" t="s">
        <v>545</v>
      </c>
      <c r="EF5" s="28" t="s">
        <v>546</v>
      </c>
      <c r="EG5" s="28" t="s">
        <v>546</v>
      </c>
      <c r="EH5" s="28" t="s">
        <v>546</v>
      </c>
      <c r="EI5" s="28" t="s">
        <v>547</v>
      </c>
      <c r="EJ5" s="28" t="s">
        <v>547</v>
      </c>
      <c r="EK5" s="28" t="s">
        <v>547</v>
      </c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2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2"/>
      <c r="GA5" s="93"/>
      <c r="GB5" s="93"/>
      <c r="GC5" s="93"/>
      <c r="GD5" s="93"/>
      <c r="GE5" s="93"/>
    </row>
    <row r="6" spans="1:218" ht="12.75" customHeight="1">
      <c r="A6" s="70" t="s">
        <v>521</v>
      </c>
      <c r="B6" s="74" t="str">
        <f ca="1">CONCATENATE("HF"," ",VLOOKUP("Protected",Zone_Traduction,ref_langue,FALSE))</f>
        <v>HF Protected</v>
      </c>
      <c r="C6" s="28">
        <v>9</v>
      </c>
      <c r="D6" s="28">
        <v>7</v>
      </c>
      <c r="E6" s="28">
        <v>5</v>
      </c>
      <c r="F6" s="28">
        <v>3</v>
      </c>
      <c r="G6" s="28">
        <v>1</v>
      </c>
      <c r="H6" s="84">
        <v>0</v>
      </c>
      <c r="J6" s="74" t="str">
        <f ca="1">CONCATENATE("infanterie"," ",VLOOKUP("Bow",Zone_Traduction,ref_langue,FALSE))</f>
        <v>infanterie Bow</v>
      </c>
      <c r="K6" s="88">
        <v>1</v>
      </c>
      <c r="M6" s="94" t="str">
        <f ca="1">VLOOKUP("Port Def.",Zone_Traduction,ref_langue,FALSE)</f>
        <v>Port Def.</v>
      </c>
      <c r="N6" s="95">
        <v>1.5</v>
      </c>
      <c r="Q6" s="74" t="str">
        <f ca="1">CONCATENATE("infanterie"," ",VLOOKUP("Impact foot Skilled swordsmen",Zone_Traduction,ref_langue,FALSE))</f>
        <v>infanterie Impact Foot Skilled Swordsmen</v>
      </c>
      <c r="R6" s="75">
        <v>3</v>
      </c>
      <c r="AF6" s="71">
        <v>4</v>
      </c>
      <c r="AG6" s="86">
        <f t="shared" si="0"/>
        <v>1.25</v>
      </c>
      <c r="AH6" s="86">
        <f t="shared" si="0"/>
        <v>2.5</v>
      </c>
      <c r="AI6" s="86">
        <f t="shared" si="0"/>
        <v>3.75</v>
      </c>
      <c r="AJ6">
        <v>10</v>
      </c>
      <c r="BI6" s="14">
        <f>SUM(BI13:BI38)</f>
        <v>0</v>
      </c>
      <c r="BJ6" s="24"/>
      <c r="BK6" s="24"/>
      <c r="BL6" s="24"/>
      <c r="BM6" s="96">
        <f>BN7+BK3</f>
        <v>3</v>
      </c>
      <c r="BN6" s="24"/>
      <c r="BP6" s="76" t="s">
        <v>548</v>
      </c>
      <c r="BQ6" s="87"/>
      <c r="BR6" s="28"/>
      <c r="BS6" s="28"/>
      <c r="BT6" s="28"/>
      <c r="BU6" s="28"/>
      <c r="BV6" s="28"/>
      <c r="BW6" s="28"/>
      <c r="BX6" s="28" t="s">
        <v>549</v>
      </c>
      <c r="BY6" s="28" t="s">
        <v>549</v>
      </c>
      <c r="BZ6" s="28" t="s">
        <v>549</v>
      </c>
      <c r="CA6" s="28" t="s">
        <v>549</v>
      </c>
      <c r="CB6" s="28" t="s">
        <v>550</v>
      </c>
      <c r="CC6" s="28" t="s">
        <v>550</v>
      </c>
      <c r="CD6" s="28" t="s">
        <v>550</v>
      </c>
      <c r="CE6" s="28" t="s">
        <v>550</v>
      </c>
      <c r="CF6" s="28" t="s">
        <v>551</v>
      </c>
      <c r="CG6" s="28" t="s">
        <v>551</v>
      </c>
      <c r="CH6" s="28" t="s">
        <v>551</v>
      </c>
      <c r="CI6" s="28" t="s">
        <v>552</v>
      </c>
      <c r="CJ6" s="28" t="s">
        <v>552</v>
      </c>
      <c r="CK6" s="28" t="s">
        <v>552</v>
      </c>
      <c r="CL6" s="28" t="s">
        <v>553</v>
      </c>
      <c r="CM6" s="28" t="s">
        <v>554</v>
      </c>
      <c r="CN6" s="28" t="s">
        <v>554</v>
      </c>
      <c r="CO6" s="28" t="s">
        <v>554</v>
      </c>
      <c r="CP6" s="28" t="s">
        <v>554</v>
      </c>
      <c r="CQ6" s="28" t="s">
        <v>554</v>
      </c>
      <c r="CR6" s="28" t="s">
        <v>554</v>
      </c>
      <c r="CS6" s="28" t="s">
        <v>554</v>
      </c>
      <c r="CT6" s="28" t="s">
        <v>554</v>
      </c>
      <c r="CU6" s="28" t="s">
        <v>555</v>
      </c>
      <c r="CV6" s="28" t="s">
        <v>555</v>
      </c>
      <c r="CW6" s="28" t="s">
        <v>555</v>
      </c>
      <c r="CX6" s="28" t="s">
        <v>556</v>
      </c>
      <c r="CY6" s="28" t="s">
        <v>556</v>
      </c>
      <c r="CZ6" s="28" t="s">
        <v>557</v>
      </c>
      <c r="DA6" s="28" t="s">
        <v>557</v>
      </c>
      <c r="DB6" s="28" t="s">
        <v>557</v>
      </c>
      <c r="DC6" s="28" t="s">
        <v>557</v>
      </c>
      <c r="DD6" s="28" t="s">
        <v>557</v>
      </c>
      <c r="DE6" s="28" t="s">
        <v>557</v>
      </c>
      <c r="DF6" s="28" t="s">
        <v>558</v>
      </c>
      <c r="DG6" s="28" t="s">
        <v>558</v>
      </c>
      <c r="DH6" s="28" t="s">
        <v>558</v>
      </c>
      <c r="DI6" s="28" t="s">
        <v>558</v>
      </c>
      <c r="DJ6" s="28" t="s">
        <v>558</v>
      </c>
      <c r="DK6" s="28" t="s">
        <v>559</v>
      </c>
      <c r="DL6" s="28" t="s">
        <v>559</v>
      </c>
      <c r="DM6" s="28" t="s">
        <v>559</v>
      </c>
      <c r="DN6" s="28" t="s">
        <v>559</v>
      </c>
      <c r="DO6" s="28" t="s">
        <v>560</v>
      </c>
      <c r="DP6" s="28" t="s">
        <v>560</v>
      </c>
      <c r="DQ6" s="28" t="s">
        <v>560</v>
      </c>
      <c r="DR6" s="28" t="s">
        <v>560</v>
      </c>
      <c r="DS6" s="28" t="s">
        <v>561</v>
      </c>
      <c r="DT6" s="28" t="s">
        <v>561</v>
      </c>
      <c r="DU6" s="28" t="s">
        <v>561</v>
      </c>
      <c r="DV6" s="28" t="s">
        <v>561</v>
      </c>
      <c r="DW6" s="28" t="s">
        <v>562</v>
      </c>
      <c r="DX6" s="28" t="s">
        <v>562</v>
      </c>
      <c r="DY6" s="28" t="s">
        <v>562</v>
      </c>
      <c r="DZ6" s="28" t="s">
        <v>563</v>
      </c>
      <c r="EA6" s="28" t="s">
        <v>563</v>
      </c>
      <c r="EB6" s="28" t="s">
        <v>564</v>
      </c>
      <c r="EC6" s="28" t="s">
        <v>564</v>
      </c>
      <c r="ED6" s="28" t="s">
        <v>564</v>
      </c>
      <c r="EE6" s="28" t="s">
        <v>565</v>
      </c>
      <c r="EF6" s="28" t="s">
        <v>565</v>
      </c>
      <c r="EG6" s="28" t="s">
        <v>565</v>
      </c>
      <c r="EH6" s="28" t="s">
        <v>565</v>
      </c>
      <c r="EI6" s="28" t="s">
        <v>566</v>
      </c>
      <c r="EJ6" s="28" t="s">
        <v>566</v>
      </c>
      <c r="EK6" s="28" t="s">
        <v>566</v>
      </c>
      <c r="EL6" s="28" t="s">
        <v>567</v>
      </c>
      <c r="EM6" s="28" t="s">
        <v>567</v>
      </c>
      <c r="EN6" s="28" t="s">
        <v>568</v>
      </c>
      <c r="EO6" s="28" t="s">
        <v>568</v>
      </c>
      <c r="EP6" s="28" t="s">
        <v>568</v>
      </c>
      <c r="EQ6" s="28" t="s">
        <v>568</v>
      </c>
      <c r="ER6" s="28" t="s">
        <v>568</v>
      </c>
      <c r="ES6" s="28" t="s">
        <v>569</v>
      </c>
      <c r="ET6" s="28" t="s">
        <v>569</v>
      </c>
      <c r="EU6" s="28" t="s">
        <v>569</v>
      </c>
      <c r="EV6" s="28" t="s">
        <v>569</v>
      </c>
      <c r="EW6" s="28" t="s">
        <v>569</v>
      </c>
      <c r="EX6" s="87" t="s">
        <v>570</v>
      </c>
      <c r="EY6" s="87" t="s">
        <v>570</v>
      </c>
      <c r="EZ6" s="87" t="s">
        <v>570</v>
      </c>
      <c r="FA6" s="28" t="s">
        <v>571</v>
      </c>
      <c r="FB6" s="28" t="s">
        <v>571</v>
      </c>
      <c r="FC6" s="28" t="s">
        <v>571</v>
      </c>
      <c r="FD6" s="28" t="s">
        <v>571</v>
      </c>
      <c r="FE6" s="28" t="s">
        <v>571</v>
      </c>
      <c r="FF6" s="28" t="s">
        <v>572</v>
      </c>
      <c r="FG6" s="28" t="s">
        <v>572</v>
      </c>
      <c r="FH6" s="28" t="s">
        <v>572</v>
      </c>
      <c r="FI6" s="28" t="s">
        <v>573</v>
      </c>
      <c r="FJ6" s="28" t="s">
        <v>573</v>
      </c>
      <c r="FK6" s="28" t="s">
        <v>573</v>
      </c>
      <c r="FL6" s="28" t="s">
        <v>574</v>
      </c>
      <c r="FM6" s="28" t="s">
        <v>574</v>
      </c>
      <c r="FN6" s="28" t="s">
        <v>574</v>
      </c>
      <c r="FO6" s="28" t="s">
        <v>574</v>
      </c>
      <c r="FP6" s="28" t="s">
        <v>575</v>
      </c>
      <c r="FQ6" s="28" t="s">
        <v>575</v>
      </c>
      <c r="FR6" s="28" t="s">
        <v>575</v>
      </c>
      <c r="FS6" s="28" t="s">
        <v>575</v>
      </c>
      <c r="FT6" s="28" t="s">
        <v>575</v>
      </c>
      <c r="FU6" s="28" t="s">
        <v>576</v>
      </c>
      <c r="FV6" s="28" t="s">
        <v>576</v>
      </c>
      <c r="FW6" s="28" t="s">
        <v>577</v>
      </c>
      <c r="FX6" s="28" t="s">
        <v>577</v>
      </c>
      <c r="FY6" s="28" t="s">
        <v>577</v>
      </c>
      <c r="FZ6" s="84" t="s">
        <v>578</v>
      </c>
      <c r="GA6" s="84" t="s">
        <v>578</v>
      </c>
      <c r="GB6" s="84" t="s">
        <v>578</v>
      </c>
      <c r="GC6" t="s">
        <v>579</v>
      </c>
      <c r="GD6" t="s">
        <v>579</v>
      </c>
      <c r="GE6" t="s">
        <v>579</v>
      </c>
      <c r="GF6" t="s">
        <v>579</v>
      </c>
      <c r="GG6" t="s">
        <v>579</v>
      </c>
      <c r="GH6" t="s">
        <v>579</v>
      </c>
      <c r="GI6" t="s">
        <v>579</v>
      </c>
      <c r="GJ6" t="s">
        <v>580</v>
      </c>
      <c r="GK6" t="s">
        <v>580</v>
      </c>
      <c r="GL6" t="s">
        <v>580</v>
      </c>
      <c r="GM6" t="s">
        <v>580</v>
      </c>
      <c r="GN6" t="s">
        <v>580</v>
      </c>
      <c r="GO6" t="s">
        <v>581</v>
      </c>
      <c r="GP6" t="s">
        <v>581</v>
      </c>
      <c r="GQ6" t="s">
        <v>581</v>
      </c>
      <c r="GR6" t="s">
        <v>582</v>
      </c>
      <c r="GS6" t="s">
        <v>582</v>
      </c>
      <c r="GT6" t="s">
        <v>582</v>
      </c>
      <c r="GU6" t="s">
        <v>583</v>
      </c>
      <c r="GV6" t="s">
        <v>583</v>
      </c>
      <c r="GW6" t="s">
        <v>583</v>
      </c>
      <c r="GX6" t="s">
        <v>583</v>
      </c>
      <c r="GY6" t="s">
        <v>583</v>
      </c>
      <c r="GZ6" t="s">
        <v>584</v>
      </c>
      <c r="HA6" t="s">
        <v>584</v>
      </c>
      <c r="HB6" t="s">
        <v>584</v>
      </c>
      <c r="HC6" t="s">
        <v>585</v>
      </c>
      <c r="HD6" t="s">
        <v>585</v>
      </c>
      <c r="HE6" t="s">
        <v>585</v>
      </c>
      <c r="HF6" t="s">
        <v>585</v>
      </c>
      <c r="HG6" t="s">
        <v>585</v>
      </c>
      <c r="HH6" t="s">
        <v>585</v>
      </c>
      <c r="HI6" t="s">
        <v>585</v>
      </c>
      <c r="HJ6" t="s">
        <v>586</v>
      </c>
    </row>
    <row r="7" spans="1:187" s="100" customFormat="1" ht="13.5" customHeight="1">
      <c r="A7" s="16" t="s">
        <v>521</v>
      </c>
      <c r="B7" s="97" t="str">
        <f ca="1">CONCATENATE("HF"," ",VLOOKUP("Unprotected",Zone_Traduction,ref_langue,FALSE))</f>
        <v>HF Unprotected</v>
      </c>
      <c r="C7" s="98">
        <v>6</v>
      </c>
      <c r="D7" s="98">
        <v>5</v>
      </c>
      <c r="E7" s="98">
        <v>4</v>
      </c>
      <c r="F7" s="98">
        <v>2</v>
      </c>
      <c r="G7" s="98">
        <v>1</v>
      </c>
      <c r="H7" s="99">
        <v>0</v>
      </c>
      <c r="J7" s="97" t="str">
        <f ca="1">CONCATENATE("infanterie"," ",VLOOKUP("Bw*",Zone_Traduction,ref_langue,FALSE))</f>
        <v>infanterie Bw*</v>
      </c>
      <c r="K7" s="101">
        <v>1</v>
      </c>
      <c r="M7" s="102"/>
      <c r="N7" s="98"/>
      <c r="Q7" s="74" t="str">
        <f ca="1">CONCATENATE("infanterie"," ",VLOOKUP("Impact foot Swordsmen",Zone_Traduction,ref_langue,FALSE))</f>
        <v>infanterie Impact Foot Swordsmen</v>
      </c>
      <c r="R7" s="75">
        <v>2</v>
      </c>
      <c r="AF7" s="103">
        <v>5</v>
      </c>
      <c r="AG7" s="100">
        <f t="shared" si="0"/>
        <v>1</v>
      </c>
      <c r="AH7" s="100">
        <f t="shared" si="0"/>
        <v>2</v>
      </c>
      <c r="AI7" s="100">
        <f t="shared" si="0"/>
        <v>3</v>
      </c>
      <c r="AJ7" s="100">
        <f t="shared" si="0"/>
        <v>4</v>
      </c>
      <c r="AK7" s="100">
        <v>10</v>
      </c>
      <c r="BI7" s="104"/>
      <c r="BJ7" s="105"/>
      <c r="BK7" s="105"/>
      <c r="BL7" s="105">
        <f>BM7-BI6</f>
        <v>13</v>
      </c>
      <c r="BM7" s="105">
        <f>SUM(IF(FREQUENCY('Liste Armée'!C24:'Liste Armée'!C62,'Liste Armée'!C24:'Liste Armée'!C62)&gt;0,1))</f>
        <v>13</v>
      </c>
      <c r="BN7" s="106">
        <f>VLOOKUP(BN8,table_eclaireur,2,TRUE)</f>
        <v>2</v>
      </c>
      <c r="BP7" s="76" t="s">
        <v>587</v>
      </c>
      <c r="BQ7" s="28"/>
      <c r="BR7" s="28"/>
      <c r="BS7" s="28" t="s">
        <v>588</v>
      </c>
      <c r="BT7" s="28"/>
      <c r="BU7" s="17" t="s">
        <v>589</v>
      </c>
      <c r="BV7" s="17" t="s">
        <v>589</v>
      </c>
      <c r="BW7" s="28" t="s">
        <v>590</v>
      </c>
      <c r="BX7" s="28" t="s">
        <v>590</v>
      </c>
      <c r="BY7" s="28" t="s">
        <v>590</v>
      </c>
      <c r="BZ7" s="28" t="s">
        <v>590</v>
      </c>
      <c r="CA7" s="28" t="s">
        <v>590</v>
      </c>
      <c r="CB7" s="28" t="s">
        <v>590</v>
      </c>
      <c r="CC7" s="28" t="s">
        <v>590</v>
      </c>
      <c r="CD7" s="28" t="s">
        <v>591</v>
      </c>
      <c r="CE7" s="28" t="s">
        <v>591</v>
      </c>
      <c r="CF7" s="28" t="s">
        <v>591</v>
      </c>
      <c r="CG7" s="28" t="s">
        <v>591</v>
      </c>
      <c r="CH7" s="28" t="s">
        <v>592</v>
      </c>
      <c r="CI7" s="28" t="s">
        <v>592</v>
      </c>
      <c r="CJ7" s="28" t="s">
        <v>592</v>
      </c>
      <c r="CK7" s="28" t="s">
        <v>592</v>
      </c>
      <c r="CL7" s="17" t="s">
        <v>593</v>
      </c>
      <c r="CM7" s="17" t="s">
        <v>593</v>
      </c>
      <c r="CN7" s="17" t="s">
        <v>593</v>
      </c>
      <c r="CO7" s="17" t="s">
        <v>593</v>
      </c>
      <c r="CP7" s="28" t="s">
        <v>594</v>
      </c>
      <c r="CQ7" s="28" t="s">
        <v>594</v>
      </c>
      <c r="CR7" s="28" t="s">
        <v>595</v>
      </c>
      <c r="CS7" s="28" t="s">
        <v>595</v>
      </c>
      <c r="CT7" s="28" t="s">
        <v>596</v>
      </c>
      <c r="CU7" s="28" t="s">
        <v>596</v>
      </c>
      <c r="CV7" s="28" t="s">
        <v>596</v>
      </c>
      <c r="CW7" s="28" t="s">
        <v>596</v>
      </c>
      <c r="CX7" s="28" t="s">
        <v>597</v>
      </c>
      <c r="CY7" s="28" t="s">
        <v>597</v>
      </c>
      <c r="CZ7" s="28" t="s">
        <v>597</v>
      </c>
      <c r="DA7" s="17" t="s">
        <v>598</v>
      </c>
      <c r="DB7" s="17" t="s">
        <v>598</v>
      </c>
      <c r="DC7" s="17" t="s">
        <v>598</v>
      </c>
      <c r="DD7" s="17" t="s">
        <v>598</v>
      </c>
      <c r="DE7" s="17" t="s">
        <v>598</v>
      </c>
      <c r="DF7" s="28" t="s">
        <v>599</v>
      </c>
      <c r="DG7" s="28" t="s">
        <v>599</v>
      </c>
      <c r="DH7" s="28" t="s">
        <v>599</v>
      </c>
      <c r="DI7" s="17" t="s">
        <v>600</v>
      </c>
      <c r="DJ7" s="17" t="s">
        <v>600</v>
      </c>
      <c r="DK7" s="17" t="s">
        <v>600</v>
      </c>
      <c r="DL7" s="17" t="s">
        <v>600</v>
      </c>
      <c r="DM7" s="28" t="s">
        <v>601</v>
      </c>
      <c r="DN7" s="28" t="s">
        <v>601</v>
      </c>
      <c r="DO7" s="28" t="s">
        <v>601</v>
      </c>
      <c r="DP7" s="28" t="s">
        <v>601</v>
      </c>
      <c r="DQ7" s="28" t="s">
        <v>602</v>
      </c>
      <c r="DR7" s="28" t="s">
        <v>602</v>
      </c>
      <c r="DS7" s="28" t="s">
        <v>602</v>
      </c>
      <c r="DT7" s="28" t="s">
        <v>603</v>
      </c>
      <c r="DU7" s="28" t="s">
        <v>603</v>
      </c>
      <c r="DV7" s="28" t="s">
        <v>603</v>
      </c>
      <c r="DW7" s="28" t="s">
        <v>603</v>
      </c>
      <c r="DX7" s="28" t="s">
        <v>603</v>
      </c>
      <c r="DY7" s="28" t="s">
        <v>604</v>
      </c>
      <c r="DZ7" s="28" t="s">
        <v>604</v>
      </c>
      <c r="EA7" s="28" t="s">
        <v>604</v>
      </c>
      <c r="EB7" s="28" t="s">
        <v>604</v>
      </c>
      <c r="EC7" s="28" t="s">
        <v>605</v>
      </c>
      <c r="ED7" s="28" t="s">
        <v>605</v>
      </c>
      <c r="EE7" s="28" t="s">
        <v>605</v>
      </c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8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10"/>
      <c r="GA7" s="111"/>
      <c r="GB7" s="111"/>
      <c r="GC7" s="111"/>
      <c r="GD7" s="111"/>
      <c r="GE7" s="111"/>
    </row>
    <row r="8" spans="1:187" ht="12.75" customHeight="1">
      <c r="A8" s="70" t="s">
        <v>521</v>
      </c>
      <c r="B8" s="74" t="str">
        <f ca="1">CONCATENATE("MF"," ",VLOOKUP("Heavily armoured",Zone_Traduction,ref_langue,FALSE))</f>
        <v>MF Heavily Armoured</v>
      </c>
      <c r="C8" s="28">
        <v>15</v>
      </c>
      <c r="D8" s="28">
        <v>12</v>
      </c>
      <c r="E8" s="28">
        <v>9</v>
      </c>
      <c r="F8" s="28"/>
      <c r="G8" s="28">
        <v>2</v>
      </c>
      <c r="H8" s="84">
        <v>0</v>
      </c>
      <c r="J8" s="74" t="str">
        <f ca="1">CONCATENATE("montes"," ",VLOOKUP("Bow",Zone_Traduction,ref_langue,FALSE))</f>
        <v>montes Bow</v>
      </c>
      <c r="K8" s="88">
        <v>3</v>
      </c>
      <c r="M8" s="112"/>
      <c r="N8" s="28"/>
      <c r="Q8" s="74" t="str">
        <f ca="1">CONCATENATE("infanterie"," ",VLOOKUP("Light spear Skilled swordsmen",Zone_Traduction,ref_langue,FALSE))</f>
        <v>infanterie Light Spear Skilled Swordsmen</v>
      </c>
      <c r="R8" s="113">
        <v>2</v>
      </c>
      <c r="AF8" s="71">
        <v>6</v>
      </c>
      <c r="AG8" s="86">
        <f t="shared" si="0"/>
        <v>0.8333333333333333</v>
      </c>
      <c r="AH8" s="86">
        <f t="shared" si="0"/>
        <v>1.6666666666666665</v>
      </c>
      <c r="AI8" s="86">
        <f t="shared" si="0"/>
        <v>2.5</v>
      </c>
      <c r="AJ8" s="86">
        <f t="shared" si="0"/>
        <v>3.333333333333333</v>
      </c>
      <c r="AK8" s="86">
        <f t="shared" si="0"/>
        <v>4.166666666666667</v>
      </c>
      <c r="AL8">
        <v>10</v>
      </c>
      <c r="BI8" s="66"/>
      <c r="BJ8" s="24"/>
      <c r="BK8" s="24"/>
      <c r="BL8" s="24">
        <f>SUM(BL13:BL38)</f>
        <v>652</v>
      </c>
      <c r="BM8" s="24" t="str">
        <f>VLOOKUP(BM7,ordre_de_marche,2)</f>
        <v>4-3-3-3</v>
      </c>
      <c r="BN8" s="24">
        <f>SUM(BN13:BN38)</f>
        <v>32</v>
      </c>
      <c r="BP8" s="76" t="s">
        <v>606</v>
      </c>
      <c r="BQ8" s="28"/>
      <c r="BR8" s="28"/>
      <c r="BS8" s="28" t="s">
        <v>607</v>
      </c>
      <c r="BT8" s="28" t="s">
        <v>607</v>
      </c>
      <c r="BU8" s="28" t="s">
        <v>607</v>
      </c>
      <c r="BV8" s="28" t="s">
        <v>607</v>
      </c>
      <c r="BW8" s="28" t="s">
        <v>607</v>
      </c>
      <c r="BX8" s="28" t="s">
        <v>607</v>
      </c>
      <c r="BY8" s="28" t="s">
        <v>607</v>
      </c>
      <c r="BZ8" s="28" t="s">
        <v>608</v>
      </c>
      <c r="CA8" s="28" t="s">
        <v>608</v>
      </c>
      <c r="CB8" s="28" t="s">
        <v>608</v>
      </c>
      <c r="CC8" s="28" t="s">
        <v>608</v>
      </c>
      <c r="CD8" s="28" t="s">
        <v>608</v>
      </c>
      <c r="CE8" s="28" t="s">
        <v>609</v>
      </c>
      <c r="CF8" s="28" t="s">
        <v>609</v>
      </c>
      <c r="CG8" s="28" t="s">
        <v>609</v>
      </c>
      <c r="CH8" s="28" t="s">
        <v>610</v>
      </c>
      <c r="CI8" s="28" t="s">
        <v>610</v>
      </c>
      <c r="CJ8" s="28" t="s">
        <v>611</v>
      </c>
      <c r="CK8" s="28" t="s">
        <v>612</v>
      </c>
      <c r="CL8" s="28" t="s">
        <v>612</v>
      </c>
      <c r="CM8" s="17" t="s">
        <v>613</v>
      </c>
      <c r="CN8" s="17" t="s">
        <v>613</v>
      </c>
      <c r="CO8" s="17" t="s">
        <v>613</v>
      </c>
      <c r="CP8" s="17" t="s">
        <v>613</v>
      </c>
      <c r="CQ8" s="28" t="s">
        <v>614</v>
      </c>
      <c r="CR8" s="28" t="s">
        <v>614</v>
      </c>
      <c r="CS8" s="28" t="s">
        <v>614</v>
      </c>
      <c r="CT8" s="28" t="s">
        <v>614</v>
      </c>
      <c r="CU8" s="28" t="s">
        <v>615</v>
      </c>
      <c r="CV8" s="28" t="s">
        <v>615</v>
      </c>
      <c r="CW8" s="28" t="s">
        <v>615</v>
      </c>
      <c r="CX8" s="28" t="s">
        <v>615</v>
      </c>
      <c r="CY8" s="28" t="s">
        <v>616</v>
      </c>
      <c r="CZ8" s="28" t="s">
        <v>616</v>
      </c>
      <c r="DA8" s="28" t="s">
        <v>617</v>
      </c>
      <c r="DB8" s="28" t="s">
        <v>617</v>
      </c>
      <c r="DC8" s="28" t="s">
        <v>617</v>
      </c>
      <c r="DD8" s="28" t="s">
        <v>618</v>
      </c>
      <c r="DE8" s="28" t="s">
        <v>618</v>
      </c>
      <c r="DF8" s="28" t="s">
        <v>618</v>
      </c>
      <c r="DG8" s="28" t="s">
        <v>618</v>
      </c>
      <c r="DH8" s="28" t="s">
        <v>618</v>
      </c>
      <c r="DI8" s="28" t="s">
        <v>618</v>
      </c>
      <c r="DJ8" s="28" t="s">
        <v>619</v>
      </c>
      <c r="DK8" s="28" t="s">
        <v>619</v>
      </c>
      <c r="DL8" s="28" t="s">
        <v>620</v>
      </c>
      <c r="DM8" s="28" t="s">
        <v>620</v>
      </c>
      <c r="DN8" s="28" t="s">
        <v>621</v>
      </c>
      <c r="DO8" s="28" t="s">
        <v>621</v>
      </c>
      <c r="DP8" s="28" t="s">
        <v>622</v>
      </c>
      <c r="DQ8" s="28" t="s">
        <v>622</v>
      </c>
      <c r="DR8" s="28" t="s">
        <v>622</v>
      </c>
      <c r="DS8" s="28" t="s">
        <v>622</v>
      </c>
      <c r="DT8" s="28" t="s">
        <v>623</v>
      </c>
      <c r="DU8" s="28" t="s">
        <v>624</v>
      </c>
      <c r="DV8" s="28" t="s">
        <v>624</v>
      </c>
      <c r="DW8" s="28" t="s">
        <v>624</v>
      </c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5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5"/>
      <c r="GA8" s="116"/>
      <c r="GB8" s="116"/>
      <c r="GC8" s="116"/>
      <c r="GD8" s="116"/>
      <c r="GE8" s="116"/>
    </row>
    <row r="9" spans="1:187" ht="12.75" customHeight="1">
      <c r="A9" s="70" t="s">
        <v>521</v>
      </c>
      <c r="B9" s="74" t="str">
        <f ca="1">CONCATENATE("MF"," ",VLOOKUP("Armoured",Zone_Traduction,ref_langue,FALSE))</f>
        <v>MF Armoured</v>
      </c>
      <c r="C9" s="28">
        <v>13</v>
      </c>
      <c r="D9" s="28">
        <v>10</v>
      </c>
      <c r="E9" s="28">
        <v>7</v>
      </c>
      <c r="F9" s="28">
        <v>5</v>
      </c>
      <c r="G9" s="28">
        <v>1</v>
      </c>
      <c r="H9" s="84">
        <v>0</v>
      </c>
      <c r="J9" s="74" t="str">
        <f ca="1">CONCATENATE("montes"," ",VLOOKUP("Bw*",Zone_Traduction,ref_langue,FALSE))</f>
        <v>montes Bw*</v>
      </c>
      <c r="K9" s="88">
        <v>2</v>
      </c>
      <c r="M9" s="112"/>
      <c r="N9" s="28"/>
      <c r="Q9" s="74" t="str">
        <f ca="1">CONCATENATE("infanterie"," ",VLOOKUP("Light spear Swordsmen",Zone_Traduction,ref_langue,FALSE))</f>
        <v>infanterie Light spear Swordsmen</v>
      </c>
      <c r="R9" s="113">
        <v>1</v>
      </c>
      <c r="AF9" s="71">
        <v>7</v>
      </c>
      <c r="AG9" s="86">
        <f t="shared" si="0"/>
        <v>0.7142857142857142</v>
      </c>
      <c r="AH9" s="86">
        <f t="shared" si="0"/>
        <v>1.4285714285714284</v>
      </c>
      <c r="AI9" s="86">
        <f t="shared" si="0"/>
        <v>2.142857142857143</v>
      </c>
      <c r="AJ9" s="86">
        <f t="shared" si="0"/>
        <v>2.8571428571428568</v>
      </c>
      <c r="AK9" s="86">
        <f t="shared" si="0"/>
        <v>3.5714285714285716</v>
      </c>
      <c r="AL9" s="86">
        <f t="shared" si="0"/>
        <v>4.285714285714286</v>
      </c>
      <c r="AM9">
        <v>10</v>
      </c>
      <c r="BI9" s="66"/>
      <c r="BJ9" s="24"/>
      <c r="BK9" s="24"/>
      <c r="BL9" s="24"/>
      <c r="BM9" s="24"/>
      <c r="BN9" s="24"/>
      <c r="BP9" s="117" t="s">
        <v>625</v>
      </c>
      <c r="BQ9" s="98"/>
      <c r="BR9" s="98"/>
      <c r="BS9" s="98"/>
      <c r="BT9" s="98"/>
      <c r="BU9" s="98" t="s">
        <v>626</v>
      </c>
      <c r="BV9" s="98" t="s">
        <v>626</v>
      </c>
      <c r="BW9" s="98" t="s">
        <v>626</v>
      </c>
      <c r="BX9" s="98" t="s">
        <v>626</v>
      </c>
      <c r="BY9" s="98" t="s">
        <v>626</v>
      </c>
      <c r="BZ9" s="98" t="s">
        <v>626</v>
      </c>
      <c r="CA9" s="98" t="s">
        <v>627</v>
      </c>
      <c r="CB9" s="98" t="s">
        <v>627</v>
      </c>
      <c r="CC9" s="98" t="s">
        <v>627</v>
      </c>
      <c r="CD9" s="98" t="s">
        <v>627</v>
      </c>
      <c r="CE9" s="98" t="s">
        <v>627</v>
      </c>
      <c r="CF9" s="98" t="s">
        <v>627</v>
      </c>
      <c r="CG9" s="98" t="s">
        <v>628</v>
      </c>
      <c r="CH9" s="98" t="s">
        <v>628</v>
      </c>
      <c r="CI9" s="98" t="s">
        <v>628</v>
      </c>
      <c r="CJ9" s="98" t="s">
        <v>628</v>
      </c>
      <c r="CK9" s="98" t="s">
        <v>628</v>
      </c>
      <c r="CL9" s="98" t="s">
        <v>629</v>
      </c>
      <c r="CM9" s="98" t="s">
        <v>629</v>
      </c>
      <c r="CN9" s="98" t="s">
        <v>629</v>
      </c>
      <c r="CO9" s="98" t="s">
        <v>630</v>
      </c>
      <c r="CP9" s="98" t="s">
        <v>630</v>
      </c>
      <c r="CQ9" s="98" t="s">
        <v>630</v>
      </c>
      <c r="CR9" s="98" t="s">
        <v>631</v>
      </c>
      <c r="CS9" s="98" t="s">
        <v>631</v>
      </c>
      <c r="CT9" s="98" t="s">
        <v>631</v>
      </c>
      <c r="CU9" s="98" t="s">
        <v>632</v>
      </c>
      <c r="CV9" s="98" t="s">
        <v>632</v>
      </c>
      <c r="CW9" s="98" t="s">
        <v>632</v>
      </c>
      <c r="CX9" s="98" t="s">
        <v>633</v>
      </c>
      <c r="CY9" s="98" t="s">
        <v>633</v>
      </c>
      <c r="CZ9" s="98" t="s">
        <v>633</v>
      </c>
      <c r="DA9" s="98" t="s">
        <v>634</v>
      </c>
      <c r="DB9" s="98" t="s">
        <v>634</v>
      </c>
      <c r="DC9" s="98" t="s">
        <v>634</v>
      </c>
      <c r="DD9" s="118" t="s">
        <v>635</v>
      </c>
      <c r="DE9" s="98" t="s">
        <v>636</v>
      </c>
      <c r="DF9" s="98" t="s">
        <v>636</v>
      </c>
      <c r="DG9" s="98" t="s">
        <v>636</v>
      </c>
      <c r="DH9" s="98" t="s">
        <v>637</v>
      </c>
      <c r="DI9" s="118" t="s">
        <v>638</v>
      </c>
      <c r="DJ9" s="118" t="s">
        <v>638</v>
      </c>
      <c r="DK9" s="98" t="s">
        <v>639</v>
      </c>
      <c r="DL9" s="98" t="s">
        <v>639</v>
      </c>
      <c r="DM9" s="98" t="s">
        <v>639</v>
      </c>
      <c r="DN9" s="98" t="s">
        <v>639</v>
      </c>
      <c r="DO9" s="98" t="s">
        <v>640</v>
      </c>
      <c r="DP9" s="98" t="s">
        <v>640</v>
      </c>
      <c r="DQ9" s="98" t="s">
        <v>640</v>
      </c>
      <c r="DR9" s="98" t="s">
        <v>641</v>
      </c>
      <c r="DS9" s="98" t="s">
        <v>641</v>
      </c>
      <c r="DT9" s="98" t="s">
        <v>641</v>
      </c>
      <c r="DU9" s="98" t="s">
        <v>641</v>
      </c>
      <c r="DV9" s="119" t="s">
        <v>642</v>
      </c>
      <c r="DW9" s="119" t="s">
        <v>642</v>
      </c>
      <c r="DX9" s="119" t="s">
        <v>642</v>
      </c>
      <c r="DY9" s="120" t="s">
        <v>643</v>
      </c>
      <c r="DZ9" s="120" t="s">
        <v>643</v>
      </c>
      <c r="EA9" s="120" t="s">
        <v>644</v>
      </c>
      <c r="EB9" s="120" t="s">
        <v>644</v>
      </c>
      <c r="EC9" s="120" t="s">
        <v>644</v>
      </c>
      <c r="ED9" s="121" t="s">
        <v>645</v>
      </c>
      <c r="EE9" s="121" t="s">
        <v>645</v>
      </c>
      <c r="EF9" s="121" t="s">
        <v>646</v>
      </c>
      <c r="EG9" s="121" t="s">
        <v>646</v>
      </c>
      <c r="EH9" s="121" t="s">
        <v>646</v>
      </c>
      <c r="EI9" s="121" t="s">
        <v>646</v>
      </c>
      <c r="EJ9" s="121" t="s">
        <v>647</v>
      </c>
      <c r="EK9" s="121" t="s">
        <v>647</v>
      </c>
      <c r="EL9" s="121" t="s">
        <v>647</v>
      </c>
      <c r="EM9" s="122"/>
      <c r="EN9" s="122"/>
      <c r="EO9" s="122"/>
      <c r="EP9" s="122"/>
      <c r="EQ9" s="122"/>
      <c r="ER9" s="122"/>
      <c r="ES9" s="122"/>
      <c r="ET9" s="122"/>
      <c r="EU9" s="122"/>
      <c r="EV9" s="123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5"/>
      <c r="GA9" s="116"/>
      <c r="GB9" s="116"/>
      <c r="GC9" s="116"/>
      <c r="GD9" s="116"/>
      <c r="GE9" s="116"/>
    </row>
    <row r="10" spans="1:182" ht="12.75" customHeight="1">
      <c r="A10" s="70" t="s">
        <v>521</v>
      </c>
      <c r="B10" s="74" t="str">
        <f ca="1">CONCATENATE("MF"," ",VLOOKUP("Protected",Zone_Traduction,ref_langue,FALSE))</f>
        <v>MF Protected</v>
      </c>
      <c r="C10" s="28">
        <v>9</v>
      </c>
      <c r="D10" s="28">
        <v>7</v>
      </c>
      <c r="E10" s="28">
        <v>5</v>
      </c>
      <c r="F10" s="28">
        <v>3</v>
      </c>
      <c r="G10" s="28">
        <v>1</v>
      </c>
      <c r="H10" s="84">
        <v>0</v>
      </c>
      <c r="J10" s="74" t="str">
        <f ca="1">CONCATENATE("montes"," ",VLOOKUP("Crossbow",Zone_Traduction,ref_langue,FALSE))</f>
        <v>montes Crossbow</v>
      </c>
      <c r="K10" s="88">
        <v>2</v>
      </c>
      <c r="Q10" s="74" t="str">
        <f ca="1">CONCATENATE("infanterie"," ",VLOOKUP("Offensive spearmen",Zone_Traduction,ref_langue,FALSE))</f>
        <v>infanterie Offensive Spearmen</v>
      </c>
      <c r="R10" s="75">
        <v>2</v>
      </c>
      <c r="AF10" s="71">
        <v>8</v>
      </c>
      <c r="AG10" s="86">
        <f t="shared" si="0"/>
        <v>0.625</v>
      </c>
      <c r="AH10" s="86">
        <f t="shared" si="0"/>
        <v>1.25</v>
      </c>
      <c r="AI10" s="86">
        <f t="shared" si="0"/>
        <v>1.875</v>
      </c>
      <c r="AJ10" s="86">
        <f t="shared" si="0"/>
        <v>2.5</v>
      </c>
      <c r="AK10" s="86">
        <f t="shared" si="0"/>
        <v>3.125</v>
      </c>
      <c r="AL10" s="86">
        <f t="shared" si="0"/>
        <v>3.75</v>
      </c>
      <c r="AM10" s="86">
        <f t="shared" si="0"/>
        <v>4.375</v>
      </c>
      <c r="AN10">
        <v>10</v>
      </c>
      <c r="BI10" s="66"/>
      <c r="BJ10" s="24"/>
      <c r="BK10" s="24"/>
      <c r="BL10" s="24"/>
      <c r="BM10" s="24"/>
      <c r="BN10" s="24"/>
      <c r="BP10" s="76" t="s">
        <v>648</v>
      </c>
      <c r="BQ10" s="87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84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84"/>
    </row>
    <row r="11" spans="1:184" ht="12.75" customHeight="1">
      <c r="A11" s="70" t="s">
        <v>521</v>
      </c>
      <c r="B11" s="74" t="str">
        <f ca="1">CONCATENATE("MF"," ",VLOOKUP("Unprotected",Zone_Traduction,ref_langue,FALSE))</f>
        <v>MF Unprotected</v>
      </c>
      <c r="C11" s="28">
        <v>6</v>
      </c>
      <c r="D11" s="28">
        <v>5</v>
      </c>
      <c r="E11" s="28">
        <v>4</v>
      </c>
      <c r="F11" s="28">
        <v>2</v>
      </c>
      <c r="G11" s="28">
        <v>1</v>
      </c>
      <c r="H11" s="84">
        <v>0</v>
      </c>
      <c r="J11" s="74" t="str">
        <f ca="1">CONCATENATE("infanterie"," ",VLOOKUP("crossbow",Zone_Traduction,ref_langue,FALSE))</f>
        <v>infanterie Crossbow</v>
      </c>
      <c r="K11" s="75">
        <v>1</v>
      </c>
      <c r="Q11" s="74" t="str">
        <f ca="1">CONCATENATE("infanterie"," ",VLOOKUP("Skilled swordsmen",Zone_Traduction,ref_langue,FALSE))</f>
        <v>infanterie Skilled Swordsmen</v>
      </c>
      <c r="R11" s="75">
        <v>2</v>
      </c>
      <c r="AF11" s="71">
        <v>9</v>
      </c>
      <c r="AG11" s="86">
        <f t="shared" si="0"/>
        <v>0.5555555555555556</v>
      </c>
      <c r="AH11" s="86">
        <f t="shared" si="0"/>
        <v>1.1111111111111112</v>
      </c>
      <c r="AI11" s="86">
        <f t="shared" si="0"/>
        <v>1.6666666666666665</v>
      </c>
      <c r="AJ11" s="86">
        <f t="shared" si="0"/>
        <v>2.2222222222222223</v>
      </c>
      <c r="AK11" s="86">
        <f t="shared" si="0"/>
        <v>2.7777777777777777</v>
      </c>
      <c r="AL11" s="86">
        <f t="shared" si="0"/>
        <v>3.333333333333333</v>
      </c>
      <c r="AM11" s="86">
        <f t="shared" si="0"/>
        <v>3.888888888888889</v>
      </c>
      <c r="AN11" s="86">
        <f t="shared" si="0"/>
        <v>4.444444444444445</v>
      </c>
      <c r="AO11">
        <v>10</v>
      </c>
      <c r="BI11" s="14"/>
      <c r="BJ11" s="24"/>
      <c r="BK11" s="24"/>
      <c r="BL11" s="24"/>
      <c r="BM11" s="24"/>
      <c r="BN11" s="24"/>
      <c r="BP11" s="76" t="s">
        <v>649</v>
      </c>
      <c r="BQ11" s="87"/>
      <c r="BR11" s="28"/>
      <c r="BS11" s="28"/>
      <c r="BT11" s="87" t="s">
        <v>650</v>
      </c>
      <c r="BU11" s="87" t="s">
        <v>650</v>
      </c>
      <c r="BV11" s="87" t="s">
        <v>650</v>
      </c>
      <c r="BW11" s="87" t="s">
        <v>650</v>
      </c>
      <c r="BX11" s="87" t="s">
        <v>651</v>
      </c>
      <c r="BY11" s="87" t="s">
        <v>651</v>
      </c>
      <c r="BZ11" s="87" t="s">
        <v>651</v>
      </c>
      <c r="CA11" s="87" t="s">
        <v>651</v>
      </c>
      <c r="CB11" s="87" t="s">
        <v>652</v>
      </c>
      <c r="CC11" s="87" t="s">
        <v>652</v>
      </c>
      <c r="CD11" s="87" t="s">
        <v>652</v>
      </c>
      <c r="CE11" s="87" t="s">
        <v>652</v>
      </c>
      <c r="CF11" s="87" t="s">
        <v>652</v>
      </c>
      <c r="CG11" s="87" t="s">
        <v>653</v>
      </c>
      <c r="CH11" s="87" t="s">
        <v>653</v>
      </c>
      <c r="CI11" s="87" t="s">
        <v>653</v>
      </c>
      <c r="CJ11" s="87" t="s">
        <v>654</v>
      </c>
      <c r="CK11" s="87" t="s">
        <v>654</v>
      </c>
      <c r="CL11" s="87" t="s">
        <v>654</v>
      </c>
      <c r="CM11" s="87" t="s">
        <v>654</v>
      </c>
      <c r="CN11" s="87" t="s">
        <v>655</v>
      </c>
      <c r="CO11" s="87" t="s">
        <v>655</v>
      </c>
      <c r="CP11" s="87" t="s">
        <v>655</v>
      </c>
      <c r="CQ11" s="87" t="s">
        <v>656</v>
      </c>
      <c r="CR11" s="87" t="s">
        <v>656</v>
      </c>
      <c r="CS11" s="87" t="s">
        <v>656</v>
      </c>
      <c r="CT11" s="87" t="s">
        <v>656</v>
      </c>
      <c r="CU11" s="87" t="s">
        <v>656</v>
      </c>
      <c r="CV11" s="87" t="s">
        <v>657</v>
      </c>
      <c r="CW11" s="87" t="s">
        <v>657</v>
      </c>
      <c r="CX11" s="87" t="s">
        <v>657</v>
      </c>
      <c r="CY11" s="87" t="s">
        <v>657</v>
      </c>
      <c r="CZ11" s="87" t="s">
        <v>657</v>
      </c>
      <c r="DA11" s="17" t="s">
        <v>658</v>
      </c>
      <c r="DB11" s="17" t="s">
        <v>658</v>
      </c>
      <c r="DC11" s="17" t="s">
        <v>658</v>
      </c>
      <c r="DD11" s="17" t="s">
        <v>658</v>
      </c>
      <c r="DE11" s="17" t="s">
        <v>658</v>
      </c>
      <c r="DF11" s="17" t="s">
        <v>658</v>
      </c>
      <c r="DG11" s="17" t="s">
        <v>658</v>
      </c>
      <c r="DH11" s="87" t="s">
        <v>659</v>
      </c>
      <c r="DI11" s="87" t="s">
        <v>659</v>
      </c>
      <c r="DJ11" s="87" t="s">
        <v>659</v>
      </c>
      <c r="DK11" s="87" t="s">
        <v>659</v>
      </c>
      <c r="DL11" s="87" t="s">
        <v>659</v>
      </c>
      <c r="DM11" s="87" t="s">
        <v>659</v>
      </c>
      <c r="DN11" s="87" t="s">
        <v>660</v>
      </c>
      <c r="DO11" s="87" t="s">
        <v>660</v>
      </c>
      <c r="DP11" s="87" t="s">
        <v>660</v>
      </c>
      <c r="DQ11" s="87" t="s">
        <v>660</v>
      </c>
      <c r="DR11" s="87" t="s">
        <v>660</v>
      </c>
      <c r="DS11" s="87" t="s">
        <v>661</v>
      </c>
      <c r="DT11" s="87" t="s">
        <v>661</v>
      </c>
      <c r="DU11" s="87" t="s">
        <v>662</v>
      </c>
      <c r="DV11" s="87" t="s">
        <v>662</v>
      </c>
      <c r="DW11" s="87" t="s">
        <v>662</v>
      </c>
      <c r="DX11" s="87" t="s">
        <v>663</v>
      </c>
      <c r="DY11" s="87" t="s">
        <v>663</v>
      </c>
      <c r="DZ11" s="87" t="s">
        <v>663</v>
      </c>
      <c r="EA11" s="87" t="s">
        <v>664</v>
      </c>
      <c r="EB11" s="87" t="s">
        <v>664</v>
      </c>
      <c r="EC11" s="87" t="s">
        <v>664</v>
      </c>
      <c r="ED11" s="87" t="s">
        <v>664</v>
      </c>
      <c r="EE11" s="87" t="s">
        <v>665</v>
      </c>
      <c r="EF11" s="87" t="s">
        <v>665</v>
      </c>
      <c r="EG11" s="87" t="s">
        <v>665</v>
      </c>
      <c r="EH11" s="87" t="s">
        <v>665</v>
      </c>
      <c r="EI11" s="87" t="s">
        <v>666</v>
      </c>
      <c r="EJ11" s="87" t="s">
        <v>666</v>
      </c>
      <c r="EK11" s="87" t="s">
        <v>666</v>
      </c>
      <c r="EL11" s="87" t="s">
        <v>667</v>
      </c>
      <c r="EM11" s="87" t="s">
        <v>667</v>
      </c>
      <c r="EN11" s="87" t="s">
        <v>667</v>
      </c>
      <c r="EO11" s="87" t="s">
        <v>668</v>
      </c>
      <c r="EP11" s="87" t="s">
        <v>668</v>
      </c>
      <c r="EQ11" s="87" t="s">
        <v>669</v>
      </c>
      <c r="ER11" s="87" t="s">
        <v>669</v>
      </c>
      <c r="ES11" s="87" t="s">
        <v>669</v>
      </c>
      <c r="ET11" s="87" t="s">
        <v>670</v>
      </c>
      <c r="EU11" s="87" t="s">
        <v>670</v>
      </c>
      <c r="EV11" s="87" t="s">
        <v>670</v>
      </c>
      <c r="EW11" s="87" t="s">
        <v>671</v>
      </c>
      <c r="EX11" s="87" t="s">
        <v>671</v>
      </c>
      <c r="EY11" s="87" t="s">
        <v>671</v>
      </c>
      <c r="EZ11" s="87" t="s">
        <v>671</v>
      </c>
      <c r="FA11" s="87" t="s">
        <v>672</v>
      </c>
      <c r="FB11" s="87" t="s">
        <v>672</v>
      </c>
      <c r="FC11" s="87" t="s">
        <v>672</v>
      </c>
      <c r="FD11" s="87" t="s">
        <v>672</v>
      </c>
      <c r="FE11" s="87" t="s">
        <v>673</v>
      </c>
      <c r="FF11" s="87" t="s">
        <v>673</v>
      </c>
      <c r="FG11" s="87" t="s">
        <v>673</v>
      </c>
      <c r="FH11" s="87" t="s">
        <v>673</v>
      </c>
      <c r="FI11" s="87" t="s">
        <v>673</v>
      </c>
      <c r="FJ11" s="87" t="s">
        <v>674</v>
      </c>
      <c r="FK11" s="87" t="s">
        <v>674</v>
      </c>
      <c r="FL11" s="87" t="s">
        <v>674</v>
      </c>
      <c r="FM11" s="87" t="s">
        <v>675</v>
      </c>
      <c r="FN11" s="87" t="s">
        <v>675</v>
      </c>
      <c r="FO11" s="87" t="s">
        <v>675</v>
      </c>
      <c r="FP11" s="87" t="s">
        <v>676</v>
      </c>
      <c r="FQ11" s="87" t="s">
        <v>676</v>
      </c>
      <c r="FR11" s="87" t="s">
        <v>676</v>
      </c>
      <c r="FS11" s="87" t="s">
        <v>676</v>
      </c>
      <c r="FT11" s="87" t="s">
        <v>677</v>
      </c>
      <c r="FU11" s="87" t="s">
        <v>677</v>
      </c>
      <c r="FV11" s="87" t="s">
        <v>677</v>
      </c>
      <c r="FW11" s="87" t="s">
        <v>678</v>
      </c>
      <c r="FX11" s="87" t="s">
        <v>678</v>
      </c>
      <c r="FY11" s="87" t="s">
        <v>678</v>
      </c>
      <c r="FZ11" s="124" t="s">
        <v>679</v>
      </c>
      <c r="GA11" s="124" t="s">
        <v>679</v>
      </c>
      <c r="GB11" s="124" t="s">
        <v>679</v>
      </c>
    </row>
    <row r="12" spans="1:187" ht="12.75" customHeight="1">
      <c r="A12" s="70" t="s">
        <v>521</v>
      </c>
      <c r="B12" s="74" t="str">
        <f ca="1">CONCATENATE("LF"," ",VLOOKUP("Heavily armoured",Zone_Traduction,ref_langue,FALSE))</f>
        <v>LF Heavily Armoured</v>
      </c>
      <c r="C12" s="28">
        <v>15</v>
      </c>
      <c r="D12" s="28">
        <v>12</v>
      </c>
      <c r="E12" s="28">
        <v>9</v>
      </c>
      <c r="F12" s="28"/>
      <c r="G12" s="28">
        <v>2</v>
      </c>
      <c r="H12" s="84">
        <v>0</v>
      </c>
      <c r="J12" s="74" t="str">
        <f ca="1">CONCATENATE("infanterie"," ",VLOOKUP("Javelins",Zone_Traduction,ref_langue,FALSE))</f>
        <v>infanterie Javelins</v>
      </c>
      <c r="K12" s="75">
        <v>0</v>
      </c>
      <c r="Q12" s="74" t="str">
        <f ca="1">CONCATENATE("infanterie"," ",VLOOKUP("Swordsmen",Zone_Traduction,ref_langue,FALSE))</f>
        <v>infanterie Swordsmen</v>
      </c>
      <c r="R12" s="75">
        <v>1</v>
      </c>
      <c r="AF12" s="71">
        <v>10</v>
      </c>
      <c r="AG12" s="86">
        <f>(AG$2/$AF12)*5</f>
        <v>0.5</v>
      </c>
      <c r="AH12" s="86">
        <f aca="true" t="shared" si="1" ref="AH12:AO12">(AH2/$AF12)*5</f>
        <v>1</v>
      </c>
      <c r="AI12" s="86">
        <f t="shared" si="1"/>
        <v>1.5</v>
      </c>
      <c r="AJ12" s="86">
        <f t="shared" si="1"/>
        <v>2</v>
      </c>
      <c r="AK12" s="86">
        <f t="shared" si="1"/>
        <v>2.5</v>
      </c>
      <c r="AL12" s="86">
        <f t="shared" si="1"/>
        <v>3</v>
      </c>
      <c r="AM12" s="86">
        <f t="shared" si="1"/>
        <v>3.5</v>
      </c>
      <c r="AN12" s="86">
        <f t="shared" si="1"/>
        <v>4</v>
      </c>
      <c r="AO12" s="86">
        <f t="shared" si="1"/>
        <v>4.5</v>
      </c>
      <c r="AP12">
        <v>10</v>
      </c>
      <c r="BI12" s="58"/>
      <c r="BJ12" s="58"/>
      <c r="BK12" s="58"/>
      <c r="BL12" s="58"/>
      <c r="BM12" s="58" t="str">
        <f>VLOOKUP(BL7,Attrition_Table,2)</f>
        <v>1-1-2-3-4-4-5-6-7-7-8-9-10</v>
      </c>
      <c r="BN12" s="58"/>
      <c r="BP12" s="76" t="s">
        <v>496</v>
      </c>
      <c r="BQ12" s="28"/>
      <c r="BR12" s="28"/>
      <c r="BS12" s="28"/>
      <c r="BT12" s="28"/>
      <c r="BU12" s="87" t="s">
        <v>680</v>
      </c>
      <c r="BV12" s="87" t="s">
        <v>680</v>
      </c>
      <c r="BW12" s="87" t="s">
        <v>680</v>
      </c>
      <c r="BX12" s="87" t="s">
        <v>680</v>
      </c>
      <c r="BY12" s="87" t="s">
        <v>681</v>
      </c>
      <c r="BZ12" s="87" t="s">
        <v>681</v>
      </c>
      <c r="CA12" s="87" t="s">
        <v>681</v>
      </c>
      <c r="CB12" s="87" t="s">
        <v>681</v>
      </c>
      <c r="CC12" s="87" t="s">
        <v>681</v>
      </c>
      <c r="CD12" s="87" t="s">
        <v>681</v>
      </c>
      <c r="CE12" s="87" t="s">
        <v>682</v>
      </c>
      <c r="CF12" s="87" t="s">
        <v>682</v>
      </c>
      <c r="CG12" s="87" t="s">
        <v>682</v>
      </c>
      <c r="CH12" s="87" t="s">
        <v>682</v>
      </c>
      <c r="CI12" s="87" t="s">
        <v>683</v>
      </c>
      <c r="CJ12" s="87" t="s">
        <v>683</v>
      </c>
      <c r="CK12" s="87" t="s">
        <v>683</v>
      </c>
      <c r="CL12" s="87" t="s">
        <v>684</v>
      </c>
      <c r="CM12" s="87" t="s">
        <v>684</v>
      </c>
      <c r="CN12" s="87" t="s">
        <v>684</v>
      </c>
      <c r="CO12" s="87" t="s">
        <v>684</v>
      </c>
      <c r="CP12" s="87" t="s">
        <v>684</v>
      </c>
      <c r="CQ12" s="87" t="s">
        <v>685</v>
      </c>
      <c r="CR12" s="87" t="s">
        <v>685</v>
      </c>
      <c r="CS12" s="87" t="s">
        <v>686</v>
      </c>
      <c r="CT12" s="87" t="s">
        <v>686</v>
      </c>
      <c r="CU12" s="87" t="s">
        <v>686</v>
      </c>
      <c r="CV12" s="87" t="s">
        <v>686</v>
      </c>
      <c r="CW12" s="87" t="s">
        <v>687</v>
      </c>
      <c r="CX12" s="87" t="s">
        <v>687</v>
      </c>
      <c r="CY12" s="87" t="s">
        <v>688</v>
      </c>
      <c r="CZ12" s="87" t="s">
        <v>688</v>
      </c>
      <c r="DA12" s="87" t="s">
        <v>689</v>
      </c>
      <c r="DB12" s="87" t="s">
        <v>689</v>
      </c>
      <c r="DC12" s="87" t="s">
        <v>689</v>
      </c>
      <c r="DD12" s="87" t="s">
        <v>690</v>
      </c>
      <c r="DE12" s="87" t="s">
        <v>690</v>
      </c>
      <c r="DF12" s="87" t="s">
        <v>690</v>
      </c>
      <c r="DG12" s="87" t="s">
        <v>691</v>
      </c>
      <c r="DH12" s="87" t="s">
        <v>691</v>
      </c>
      <c r="DI12" s="87" t="s">
        <v>691</v>
      </c>
      <c r="DJ12" s="87" t="s">
        <v>692</v>
      </c>
      <c r="DK12" s="87" t="s">
        <v>692</v>
      </c>
      <c r="DL12" s="87" t="s">
        <v>692</v>
      </c>
      <c r="DM12" s="87" t="s">
        <v>693</v>
      </c>
      <c r="DN12" s="87" t="s">
        <v>693</v>
      </c>
      <c r="DO12" s="87" t="s">
        <v>693</v>
      </c>
      <c r="DP12" s="87" t="s">
        <v>694</v>
      </c>
      <c r="DQ12" s="87" t="s">
        <v>694</v>
      </c>
      <c r="DR12" s="87" t="s">
        <v>694</v>
      </c>
      <c r="DS12" s="87" t="s">
        <v>695</v>
      </c>
      <c r="DT12" s="87" t="s">
        <v>695</v>
      </c>
      <c r="DU12" s="87" t="s">
        <v>695</v>
      </c>
      <c r="DV12" s="87" t="s">
        <v>695</v>
      </c>
      <c r="DW12" s="87" t="s">
        <v>695</v>
      </c>
      <c r="DX12" s="87" t="s">
        <v>696</v>
      </c>
      <c r="DY12" s="87" t="s">
        <v>696</v>
      </c>
      <c r="DZ12" s="87" t="s">
        <v>696</v>
      </c>
      <c r="EA12" s="87" t="s">
        <v>696</v>
      </c>
      <c r="EB12" s="87" t="s">
        <v>697</v>
      </c>
      <c r="EC12" s="87" t="s">
        <v>697</v>
      </c>
      <c r="ED12" s="87" t="s">
        <v>697</v>
      </c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6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6"/>
      <c r="GA12" s="127"/>
      <c r="GB12" s="127"/>
      <c r="GC12" s="127"/>
      <c r="GD12" s="127"/>
      <c r="GE12" s="127"/>
    </row>
    <row r="13" spans="1:187" ht="12.75" customHeight="1">
      <c r="A13" s="70" t="s">
        <v>521</v>
      </c>
      <c r="B13" s="74" t="str">
        <f ca="1">CONCATENATE("LF"," ",VLOOKUP("Armoured",Zone_Traduction,ref_langue,FALSE))</f>
        <v>LF Armoured</v>
      </c>
      <c r="C13" s="28">
        <v>13</v>
      </c>
      <c r="D13" s="28">
        <v>10</v>
      </c>
      <c r="E13" s="28">
        <v>7</v>
      </c>
      <c r="F13" s="28">
        <v>5</v>
      </c>
      <c r="G13" s="28">
        <v>0</v>
      </c>
      <c r="H13" s="84">
        <v>0</v>
      </c>
      <c r="J13" s="74" t="str">
        <f ca="1">CONCATENATE("montes"," ",VLOOKUP("Javelins",Zone_Traduction,ref_langue,FALSE))</f>
        <v>montes Javelins</v>
      </c>
      <c r="K13" s="75">
        <v>1</v>
      </c>
      <c r="M13" s="72" t="s">
        <v>698</v>
      </c>
      <c r="N13" s="73"/>
      <c r="Q13" s="74" t="str">
        <f ca="1">CONCATENATE("montes"," ",VLOOKUP("Lancer Swordsmen",Zone_Traduction,ref_langue,FALSE))</f>
        <v>montes Lancer Swordsmen</v>
      </c>
      <c r="R13" s="75">
        <v>3</v>
      </c>
      <c r="AF13" s="71">
        <v>11</v>
      </c>
      <c r="AG13" s="86">
        <f>(AG$2/$AF13)*5</f>
        <v>0.4545454545454546</v>
      </c>
      <c r="AH13" s="86">
        <f aca="true" t="shared" si="2" ref="AH13:AP13">(AH$2/$AF13)*5</f>
        <v>0.9090909090909092</v>
      </c>
      <c r="AI13" s="86">
        <f t="shared" si="2"/>
        <v>1.3636363636363635</v>
      </c>
      <c r="AJ13" s="86">
        <f t="shared" si="2"/>
        <v>1.8181818181818183</v>
      </c>
      <c r="AK13" s="86">
        <f t="shared" si="2"/>
        <v>2.2727272727272725</v>
      </c>
      <c r="AL13" s="86">
        <f t="shared" si="2"/>
        <v>2.727272727272727</v>
      </c>
      <c r="AM13" s="86">
        <f t="shared" si="2"/>
        <v>3.1818181818181817</v>
      </c>
      <c r="AN13" s="86">
        <f t="shared" si="2"/>
        <v>3.6363636363636367</v>
      </c>
      <c r="AO13" s="86">
        <f t="shared" si="2"/>
        <v>4.090909090909091</v>
      </c>
      <c r="AP13" s="86">
        <f t="shared" si="2"/>
        <v>4.545454545454545</v>
      </c>
      <c r="AQ13">
        <v>10</v>
      </c>
      <c r="BI13" s="66">
        <f>IF('Liste Armée'!E24="SCh",1,0)</f>
        <v>0</v>
      </c>
      <c r="BJ13" s="66" t="str">
        <f>IF(OR('Liste Armée'!$E24="HF",'Liste Armée'!$E24="MF",'Liste Armée'!$E24="LF"),"infanterie",IF(OR('Liste Armée'!$E24="Kn",'Liste Armée'!$E24="Ct",'Liste Armée'!$E24="Cv",'Liste Armée'!$E24="LH",'Liste Armée'!$E24="LCh",'Liste Armée'!$E24="HCh",'Liste Armée'!$E24="SCh",'Liste Armée'!$E24="EL"),"montes",IF(OR('Liste Armée'!$E24="BWG"),"BWG","special")))</f>
        <v>montes</v>
      </c>
      <c r="BK13" s="14">
        <f ca="1">VLOOKUP('Liste Armée'!$E24&amp;" "&amp;'Liste Armée'!$F24,Table_budget,MATCH('Liste Armée'!$G24,Colonnes_table_budget,FALSE),FALSE)+IF('Liste Armée'!$H24=VLOOKUP("Drilled",Zone_Traduction,ref_langue,FALSE),VLOOKUP('Liste Armée'!$E24&amp;" "&amp;'Liste Armée'!$F24,Table_budget,MATCH(VLOOKUP("Drilled",Zone_Traduction,ref_langue,FALSE),Colonnes_table_budget,FALSE),FALSE),0)+IF(ISERROR(VLOOKUP(BJ13&amp;" "&amp;$G13,Table_armes_tir,2,FALSE)),0,VLOOKUP(BJ13&amp;" "&amp;$G13,Table_armes_tir,2,FALSE))+IF(ISERROR(VLOOKUP(BJ13&amp;" "&amp;$I13,Table_armes_melee,2,FALSE)),0,VLOOKUP(BJ13&amp;" "&amp;$I13,Table_armes_melee,2,FALSE))+IF(ISERROR(VLOOKUP($J13,Table_special,2,FALSE)),0,VLOOKUP($J13,Table_special,2,FALSE))</f>
        <v>5</v>
      </c>
      <c r="BL13" s="14">
        <f>'Liste Armée'!$M24*'Liste Armée'!$L24</f>
        <v>32</v>
      </c>
      <c r="BN13" s="14">
        <f>IF(OR('Liste Armée'!$E24="CV",'Liste Armée'!$E24="LH",'Liste Armée'!$E24="LCH"),'Liste Armée'!$L24,0)</f>
        <v>4</v>
      </c>
      <c r="BP13" s="76" t="s">
        <v>699</v>
      </c>
      <c r="BQ13" s="28"/>
      <c r="BR13" s="28"/>
      <c r="BS13" s="28"/>
      <c r="BT13" s="28"/>
      <c r="BU13" s="87" t="s">
        <v>700</v>
      </c>
      <c r="BV13" s="87" t="s">
        <v>700</v>
      </c>
      <c r="BW13" s="87" t="s">
        <v>700</v>
      </c>
      <c r="BX13" s="87" t="s">
        <v>700</v>
      </c>
      <c r="BY13" s="87" t="s">
        <v>700</v>
      </c>
      <c r="BZ13" s="87" t="s">
        <v>701</v>
      </c>
      <c r="CA13" s="87" t="s">
        <v>701</v>
      </c>
      <c r="CB13" s="87" t="s">
        <v>701</v>
      </c>
      <c r="CC13" s="87" t="s">
        <v>701</v>
      </c>
      <c r="CD13" s="87" t="s">
        <v>702</v>
      </c>
      <c r="CE13" s="87" t="s">
        <v>702</v>
      </c>
      <c r="CF13" s="87" t="s">
        <v>702</v>
      </c>
      <c r="CG13" s="87" t="s">
        <v>702</v>
      </c>
      <c r="CH13" s="87" t="s">
        <v>703</v>
      </c>
      <c r="CI13" s="87" t="s">
        <v>703</v>
      </c>
      <c r="CJ13" s="87" t="s">
        <v>703</v>
      </c>
      <c r="CK13" s="87" t="s">
        <v>704</v>
      </c>
      <c r="CL13" s="87" t="s">
        <v>704</v>
      </c>
      <c r="CM13" s="87" t="s">
        <v>704</v>
      </c>
      <c r="CN13" s="87" t="s">
        <v>705</v>
      </c>
      <c r="CO13" s="87" t="s">
        <v>705</v>
      </c>
      <c r="CP13" s="87" t="s">
        <v>706</v>
      </c>
      <c r="CQ13" s="87" t="s">
        <v>707</v>
      </c>
      <c r="CR13" s="87" t="s">
        <v>707</v>
      </c>
      <c r="CS13" s="87" t="s">
        <v>707</v>
      </c>
      <c r="CT13" s="87" t="s">
        <v>708</v>
      </c>
      <c r="CU13" s="87" t="s">
        <v>708</v>
      </c>
      <c r="CV13" s="87" t="s">
        <v>708</v>
      </c>
      <c r="CW13" s="87" t="s">
        <v>709</v>
      </c>
      <c r="CX13" s="87" t="s">
        <v>709</v>
      </c>
      <c r="CY13" s="87" t="s">
        <v>709</v>
      </c>
      <c r="CZ13" s="87" t="s">
        <v>709</v>
      </c>
      <c r="DA13" s="87" t="s">
        <v>709</v>
      </c>
      <c r="DB13" s="87" t="s">
        <v>709</v>
      </c>
      <c r="DC13" s="87" t="s">
        <v>710</v>
      </c>
      <c r="DD13" s="87" t="s">
        <v>710</v>
      </c>
      <c r="DE13" s="87" t="s">
        <v>711</v>
      </c>
      <c r="DF13" s="87" t="s">
        <v>711</v>
      </c>
      <c r="DG13" s="87" t="s">
        <v>712</v>
      </c>
      <c r="DH13" s="87" t="s">
        <v>712</v>
      </c>
      <c r="DI13" s="87" t="s">
        <v>713</v>
      </c>
      <c r="DJ13" s="87" t="s">
        <v>713</v>
      </c>
      <c r="DK13" s="87" t="s">
        <v>713</v>
      </c>
      <c r="DL13" s="87" t="s">
        <v>714</v>
      </c>
      <c r="DM13" s="87" t="s">
        <v>714</v>
      </c>
      <c r="DN13" s="87" t="s">
        <v>714</v>
      </c>
      <c r="DO13" s="87" t="s">
        <v>714</v>
      </c>
      <c r="DP13" s="87" t="s">
        <v>715</v>
      </c>
      <c r="DQ13" s="87" t="s">
        <v>715</v>
      </c>
      <c r="DR13" s="87" t="s">
        <v>715</v>
      </c>
      <c r="DS13" s="87" t="s">
        <v>716</v>
      </c>
      <c r="DT13" s="87" t="s">
        <v>716</v>
      </c>
      <c r="DU13" s="87" t="s">
        <v>716</v>
      </c>
      <c r="DV13" s="87" t="s">
        <v>716</v>
      </c>
      <c r="DW13" s="87" t="s">
        <v>716</v>
      </c>
      <c r="DX13" s="87" t="s">
        <v>717</v>
      </c>
      <c r="DY13" s="87" t="s">
        <v>717</v>
      </c>
      <c r="DZ13" s="87" t="s">
        <v>717</v>
      </c>
      <c r="EA13" s="87" t="s">
        <v>718</v>
      </c>
      <c r="EB13" s="87" t="s">
        <v>718</v>
      </c>
      <c r="EC13" s="87" t="s">
        <v>718</v>
      </c>
      <c r="ED13" s="87" t="s">
        <v>719</v>
      </c>
      <c r="EE13" s="87" t="s">
        <v>719</v>
      </c>
      <c r="EF13" s="87" t="s">
        <v>720</v>
      </c>
      <c r="EG13" s="87" t="s">
        <v>720</v>
      </c>
      <c r="EH13" s="87" t="s">
        <v>720</v>
      </c>
      <c r="EI13" s="87" t="s">
        <v>720</v>
      </c>
      <c r="EJ13" s="87" t="s">
        <v>721</v>
      </c>
      <c r="EK13" s="87" t="s">
        <v>721</v>
      </c>
      <c r="EL13" s="87" t="s">
        <v>721</v>
      </c>
      <c r="EM13" s="87" t="s">
        <v>721</v>
      </c>
      <c r="EN13" s="87" t="s">
        <v>722</v>
      </c>
      <c r="EO13" s="87" t="s">
        <v>722</v>
      </c>
      <c r="EP13" s="87" t="s">
        <v>723</v>
      </c>
      <c r="EQ13" s="87" t="s">
        <v>723</v>
      </c>
      <c r="ER13" s="87" t="s">
        <v>723</v>
      </c>
      <c r="ES13" s="87" t="s">
        <v>724</v>
      </c>
      <c r="ET13" s="87" t="s">
        <v>724</v>
      </c>
      <c r="EU13" s="87" t="s">
        <v>724</v>
      </c>
      <c r="EV13" s="124" t="s">
        <v>725</v>
      </c>
      <c r="EW13" s="124" t="s">
        <v>725</v>
      </c>
      <c r="EX13" s="124" t="s">
        <v>725</v>
      </c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5"/>
      <c r="GA13" s="116"/>
      <c r="GB13" s="116"/>
      <c r="GC13" s="116"/>
      <c r="GD13" s="116"/>
      <c r="GE13" s="116"/>
    </row>
    <row r="14" spans="1:187" ht="12.75" customHeight="1">
      <c r="A14" s="70" t="s">
        <v>521</v>
      </c>
      <c r="B14" s="74" t="str">
        <f ca="1">CONCATENATE("LF"," ",VLOOKUP("Protected",Zone_Traduction,ref_langue,FALSE))</f>
        <v>LF Protected</v>
      </c>
      <c r="C14" s="28">
        <v>9</v>
      </c>
      <c r="D14" s="28">
        <v>7</v>
      </c>
      <c r="E14" s="28">
        <v>5</v>
      </c>
      <c r="F14" s="28">
        <v>3</v>
      </c>
      <c r="G14" s="28">
        <v>0</v>
      </c>
      <c r="H14" s="84">
        <v>0</v>
      </c>
      <c r="J14" s="74" t="str">
        <f ca="1">CONCATENATE("BWG"," ",VLOOKUP("Longbow",Zone_Traduction,ref_langue,FALSE))</f>
        <v>BWG Longbow</v>
      </c>
      <c r="K14" s="88">
        <v>6</v>
      </c>
      <c r="M14" s="128">
        <v>0</v>
      </c>
      <c r="N14" s="84">
        <v>0</v>
      </c>
      <c r="Q14" s="74" t="str">
        <f ca="1">CONCATENATE("montes"," ",VLOOKUP("Light spear",Zone_Traduction,ref_langue,FALSE))</f>
        <v>montes Light Spear</v>
      </c>
      <c r="R14" s="75">
        <v>1</v>
      </c>
      <c r="AF14" s="71">
        <v>12</v>
      </c>
      <c r="AG14" s="86">
        <f aca="true" t="shared" si="3" ref="AG14:AV25">(AG$2/$AF14)*5</f>
        <v>0.41666666666666663</v>
      </c>
      <c r="AH14" s="86">
        <f t="shared" si="3"/>
        <v>0.8333333333333333</v>
      </c>
      <c r="AI14" s="86">
        <f t="shared" si="3"/>
        <v>1.25</v>
      </c>
      <c r="AJ14" s="86">
        <f t="shared" si="3"/>
        <v>1.6666666666666665</v>
      </c>
      <c r="AK14" s="86">
        <f t="shared" si="3"/>
        <v>2.0833333333333335</v>
      </c>
      <c r="AL14" s="86">
        <f t="shared" si="3"/>
        <v>2.5</v>
      </c>
      <c r="AM14" s="86">
        <f t="shared" si="3"/>
        <v>2.916666666666667</v>
      </c>
      <c r="AN14" s="86">
        <f t="shared" si="3"/>
        <v>3.333333333333333</v>
      </c>
      <c r="AO14" s="86">
        <f t="shared" si="3"/>
        <v>3.75</v>
      </c>
      <c r="AP14" s="86">
        <f t="shared" si="3"/>
        <v>4.166666666666667</v>
      </c>
      <c r="AQ14" s="86">
        <f t="shared" si="3"/>
        <v>4.583333333333333</v>
      </c>
      <c r="AR14">
        <v>10</v>
      </c>
      <c r="BI14" s="66">
        <f>IF('Liste Armée'!E25="SCh",1,0)</f>
        <v>0</v>
      </c>
      <c r="BJ14" s="66" t="str">
        <f>IF(OR('Liste Armée'!$E25="HF",'Liste Armée'!$E25="MF",'Liste Armée'!$E25="LF"),"infanterie",IF(OR('Liste Armée'!$E25="Kn",'Liste Armée'!$E25="Ct",'Liste Armée'!$E25="Cv",'Liste Armée'!$E25="LH",'Liste Armée'!$E25="LCh",'Liste Armée'!$E25="HCh",'Liste Armée'!$E25="SCh",'Liste Armée'!$E25="EL"),"montes",IF(OR('Liste Armée'!$E25="BWG"),"BWG","special")))</f>
        <v>montes</v>
      </c>
      <c r="BK14" s="14">
        <f ca="1">VLOOKUP('Liste Armée'!$E25&amp;" "&amp;'Liste Armée'!$F25,Table_budget,MATCH('Liste Armée'!$G25,Colonnes_table_budget,FALSE),FALSE)+IF('Liste Armée'!$H25=VLOOKUP("Drilled",Zone_Traduction,ref_langue,FALSE),VLOOKUP('Liste Armée'!$E25&amp;" "&amp;'Liste Armée'!$F25,Table_budget,MATCH(VLOOKUP("Drilled",Zone_Traduction,ref_langue,FALSE),Colonnes_table_budget,FALSE),FALSE),0)+IF(ISERROR(VLOOKUP(BJ14&amp;" "&amp;$G14,Table_armes_tir,2,FALSE)),0,VLOOKUP(BJ14&amp;" "&amp;$G14,Table_armes_tir,2,FALSE))+IF(ISERROR(VLOOKUP(BJ14&amp;" "&amp;$I14,Table_armes_melee,2,FALSE)),0,VLOOKUP(BJ14&amp;" "&amp;$I14,Table_armes_melee,2,FALSE))+IF(ISERROR(VLOOKUP($J14,Table_special,2,FALSE)),0,VLOOKUP($J14,Table_special,2,FALSE))</f>
        <v>5</v>
      </c>
      <c r="BL14" s="14">
        <f>'Liste Armée'!$M25*'Liste Armée'!$L25</f>
        <v>32</v>
      </c>
      <c r="BM14" s="9"/>
      <c r="BN14" s="14">
        <f>IF(OR('Liste Armée'!$E25="CV",'Liste Armée'!$E25="LH",'Liste Armée'!$E25="LCH"),'Liste Armée'!$L25,0)</f>
        <v>4</v>
      </c>
      <c r="BP14" s="76" t="s">
        <v>726</v>
      </c>
      <c r="BQ14" s="87"/>
      <c r="BR14" s="28"/>
      <c r="BS14" s="28"/>
      <c r="BT14" s="28"/>
      <c r="BU14" s="87" t="s">
        <v>727</v>
      </c>
      <c r="BV14" s="87" t="s">
        <v>728</v>
      </c>
      <c r="BW14" s="87" t="s">
        <v>728</v>
      </c>
      <c r="BX14" s="87" t="s">
        <v>728</v>
      </c>
      <c r="BY14" s="87" t="s">
        <v>728</v>
      </c>
      <c r="BZ14" s="87" t="s">
        <v>729</v>
      </c>
      <c r="CA14" s="87" t="s">
        <v>729</v>
      </c>
      <c r="CB14" s="87" t="s">
        <v>729</v>
      </c>
      <c r="CC14" s="87" t="s">
        <v>729</v>
      </c>
      <c r="CD14" s="87" t="s">
        <v>730</v>
      </c>
      <c r="CE14" s="87" t="s">
        <v>730</v>
      </c>
      <c r="CF14" s="87" t="s">
        <v>730</v>
      </c>
      <c r="CG14" s="87" t="s">
        <v>731</v>
      </c>
      <c r="CH14" s="87" t="s">
        <v>732</v>
      </c>
      <c r="CI14" s="87" t="s">
        <v>732</v>
      </c>
      <c r="CJ14" s="87" t="s">
        <v>732</v>
      </c>
      <c r="CK14" s="87" t="s">
        <v>733</v>
      </c>
      <c r="CL14" s="87" t="s">
        <v>733</v>
      </c>
      <c r="CM14" s="87" t="s">
        <v>733</v>
      </c>
      <c r="CN14" s="87" t="s">
        <v>733</v>
      </c>
      <c r="CO14" s="87" t="s">
        <v>734</v>
      </c>
      <c r="CP14" s="87" t="s">
        <v>734</v>
      </c>
      <c r="CQ14" s="87" t="s">
        <v>734</v>
      </c>
      <c r="CR14" s="87" t="s">
        <v>734</v>
      </c>
      <c r="CS14" s="87" t="s">
        <v>734</v>
      </c>
      <c r="CT14" s="87" t="s">
        <v>735</v>
      </c>
      <c r="CU14" s="87" t="s">
        <v>735</v>
      </c>
      <c r="CV14" s="87" t="s">
        <v>735</v>
      </c>
      <c r="CW14" s="87" t="s">
        <v>736</v>
      </c>
      <c r="CX14" s="87" t="s">
        <v>736</v>
      </c>
      <c r="CY14" s="87" t="s">
        <v>736</v>
      </c>
      <c r="CZ14" s="87" t="s">
        <v>736</v>
      </c>
      <c r="DA14" s="87" t="s">
        <v>737</v>
      </c>
      <c r="DB14" s="87" t="s">
        <v>737</v>
      </c>
      <c r="DC14" s="87" t="s">
        <v>737</v>
      </c>
      <c r="DD14" s="87" t="s">
        <v>738</v>
      </c>
      <c r="DE14" s="87" t="s">
        <v>738</v>
      </c>
      <c r="DF14" s="87" t="s">
        <v>738</v>
      </c>
      <c r="DG14" s="87" t="s">
        <v>739</v>
      </c>
      <c r="DH14" s="87" t="s">
        <v>739</v>
      </c>
      <c r="DI14" s="87" t="s">
        <v>740</v>
      </c>
      <c r="DJ14" s="87" t="s">
        <v>740</v>
      </c>
      <c r="DK14" s="87" t="s">
        <v>740</v>
      </c>
      <c r="DL14" s="87" t="s">
        <v>741</v>
      </c>
      <c r="DM14" s="87" t="s">
        <v>741</v>
      </c>
      <c r="DN14" s="87" t="s">
        <v>741</v>
      </c>
      <c r="DO14" s="87" t="s">
        <v>742</v>
      </c>
      <c r="DP14" s="87" t="s">
        <v>742</v>
      </c>
      <c r="DQ14" s="87" t="s">
        <v>743</v>
      </c>
      <c r="DR14" s="87" t="s">
        <v>743</v>
      </c>
      <c r="DS14" s="87" t="s">
        <v>744</v>
      </c>
      <c r="DT14" s="87" t="s">
        <v>744</v>
      </c>
      <c r="DU14" s="87" t="s">
        <v>744</v>
      </c>
      <c r="DV14" s="87" t="s">
        <v>745</v>
      </c>
      <c r="DW14" s="87" t="s">
        <v>745</v>
      </c>
      <c r="DX14" s="87" t="s">
        <v>745</v>
      </c>
      <c r="DY14" s="87" t="s">
        <v>746</v>
      </c>
      <c r="DZ14" s="87" t="s">
        <v>746</v>
      </c>
      <c r="EA14" s="87" t="s">
        <v>747</v>
      </c>
      <c r="EB14" s="87" t="s">
        <v>747</v>
      </c>
      <c r="EC14" s="87" t="s">
        <v>747</v>
      </c>
      <c r="ED14" s="87" t="s">
        <v>748</v>
      </c>
      <c r="EE14" s="87" t="s">
        <v>748</v>
      </c>
      <c r="EF14" s="87" t="s">
        <v>748</v>
      </c>
      <c r="EG14" s="87" t="s">
        <v>748</v>
      </c>
      <c r="EH14" s="87" t="s">
        <v>748</v>
      </c>
      <c r="EI14" s="87" t="s">
        <v>748</v>
      </c>
      <c r="EJ14" s="87" t="s">
        <v>748</v>
      </c>
      <c r="EK14" s="87" t="s">
        <v>749</v>
      </c>
      <c r="EL14" s="87" t="s">
        <v>749</v>
      </c>
      <c r="EM14" s="87" t="s">
        <v>750</v>
      </c>
      <c r="EN14" s="87" t="s">
        <v>750</v>
      </c>
      <c r="EO14" s="87" t="s">
        <v>750</v>
      </c>
      <c r="EP14" s="129"/>
      <c r="EQ14" s="129"/>
      <c r="ER14" s="129"/>
      <c r="ES14" s="129"/>
      <c r="ET14" s="129"/>
      <c r="EU14" s="129"/>
      <c r="EV14" s="130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30"/>
      <c r="GA14" s="131"/>
      <c r="GB14" s="131"/>
      <c r="GC14" s="131"/>
      <c r="GD14" s="131"/>
      <c r="GE14" s="131"/>
    </row>
    <row r="15" spans="1:187" ht="12.75" customHeight="1">
      <c r="A15" s="70" t="s">
        <v>521</v>
      </c>
      <c r="B15" s="74" t="str">
        <f ca="1">CONCATENATE("LF"," ",VLOOKUP("Unprotected",Zone_Traduction,ref_langue,FALSE))</f>
        <v>LF Unprotected</v>
      </c>
      <c r="C15" s="28">
        <v>6</v>
      </c>
      <c r="D15" s="28">
        <v>5</v>
      </c>
      <c r="E15" s="28">
        <v>4</v>
      </c>
      <c r="F15" s="28">
        <v>2</v>
      </c>
      <c r="G15" s="28">
        <v>0</v>
      </c>
      <c r="H15" s="84">
        <v>0</v>
      </c>
      <c r="J15" s="74" t="str">
        <f ca="1">CONCATENATE("BWG"," ",VLOOKUP("Bow",Zone_Traduction,ref_langue,FALSE))</f>
        <v>BWG Bow</v>
      </c>
      <c r="K15" s="88">
        <v>3</v>
      </c>
      <c r="M15" s="128">
        <v>10</v>
      </c>
      <c r="N15" s="84">
        <v>1</v>
      </c>
      <c r="Q15" s="74" t="str">
        <f ca="1">CONCATENATE("montes"," ",VLOOKUP("Light spear Swordsmen",Zone_Traduction,ref_langue,FALSE))</f>
        <v>montes Light spear Swordsmen</v>
      </c>
      <c r="R15" s="113">
        <v>3</v>
      </c>
      <c r="AF15" s="71">
        <v>13</v>
      </c>
      <c r="AG15" s="86">
        <f t="shared" si="3"/>
        <v>0.38461538461538464</v>
      </c>
      <c r="AH15" s="86">
        <f t="shared" si="3"/>
        <v>0.7692307692307693</v>
      </c>
      <c r="AI15" s="86">
        <f t="shared" si="3"/>
        <v>1.153846153846154</v>
      </c>
      <c r="AJ15" s="86">
        <f t="shared" si="3"/>
        <v>1.5384615384615385</v>
      </c>
      <c r="AK15" s="86">
        <f t="shared" si="3"/>
        <v>1.9230769230769231</v>
      </c>
      <c r="AL15" s="86">
        <f t="shared" si="3"/>
        <v>2.307692307692308</v>
      </c>
      <c r="AM15" s="86">
        <f t="shared" si="3"/>
        <v>2.692307692307692</v>
      </c>
      <c r="AN15" s="86">
        <f t="shared" si="3"/>
        <v>3.076923076923077</v>
      </c>
      <c r="AO15" s="86">
        <f t="shared" si="3"/>
        <v>3.4615384615384617</v>
      </c>
      <c r="AP15" s="86">
        <f t="shared" si="3"/>
        <v>3.8461538461538463</v>
      </c>
      <c r="AQ15" s="86">
        <f t="shared" si="3"/>
        <v>4.230769230769231</v>
      </c>
      <c r="AR15" s="86">
        <f t="shared" si="3"/>
        <v>4.615384615384616</v>
      </c>
      <c r="AS15">
        <v>10</v>
      </c>
      <c r="BI15" s="66">
        <f>IF('Liste Armée'!E26="SCh",1,0)</f>
        <v>0</v>
      </c>
      <c r="BJ15" s="66" t="str">
        <f>IF(OR('Liste Armée'!$E26="HF",'Liste Armée'!$E26="MF",'Liste Armée'!$E26="LF"),"infanterie",IF(OR('Liste Armée'!$E26="Kn",'Liste Armée'!$E26="Ct",'Liste Armée'!$E26="Cv",'Liste Armée'!$E26="LH",'Liste Armée'!$E26="LCh",'Liste Armée'!$E26="HCh",'Liste Armée'!$E26="SCh",'Liste Armée'!$E26="EL"),"montes",IF(OR('Liste Armée'!$E26="BWG"),"BWG","special")))</f>
        <v>montes</v>
      </c>
      <c r="BK15" s="14">
        <f ca="1">VLOOKUP('Liste Armée'!$E26&amp;" "&amp;'Liste Armée'!$F26,Table_budget,MATCH('Liste Armée'!$G26,Colonnes_table_budget,FALSE),FALSE)+IF('Liste Armée'!$H26=VLOOKUP("Drilled",Zone_Traduction,ref_langue,FALSE),VLOOKUP('Liste Armée'!$E26&amp;" "&amp;'Liste Armée'!$F26,Table_budget,MATCH(VLOOKUP("Drilled",Zone_Traduction,ref_langue,FALSE),Colonnes_table_budget,FALSE),FALSE),0)+IF(ISERROR(VLOOKUP(BJ15&amp;" "&amp;$G15,Table_armes_tir,2,FALSE)),0,VLOOKUP(BJ15&amp;" "&amp;$G15,Table_armes_tir,2,FALSE))+IF(ISERROR(VLOOKUP(BJ15&amp;" "&amp;$I15,Table_armes_melee,2,FALSE)),0,VLOOKUP(BJ15&amp;" "&amp;$I15,Table_armes_melee,2,FALSE))+IF(ISERROR(VLOOKUP($J15,Table_special,2,FALSE)),0,VLOOKUP($J15,Table_special,2,FALSE))</f>
        <v>5</v>
      </c>
      <c r="BL15" s="14">
        <f>'Liste Armée'!$M26*'Liste Armée'!$L26</f>
        <v>32</v>
      </c>
      <c r="BM15" s="9"/>
      <c r="BN15" s="14">
        <f>IF(OR('Liste Armée'!$E26="CV",'Liste Armée'!$E26="LH",'Liste Armée'!$E26="LCH"),'Liste Armée'!$L26,0)</f>
        <v>4</v>
      </c>
      <c r="BP15" s="117" t="s">
        <v>751</v>
      </c>
      <c r="BQ15" s="28"/>
      <c r="BR15" s="28"/>
      <c r="BS15" s="28"/>
      <c r="BT15" s="28" t="s">
        <v>752</v>
      </c>
      <c r="BU15" s="28" t="s">
        <v>752</v>
      </c>
      <c r="BV15" s="28" t="s">
        <v>752</v>
      </c>
      <c r="BW15" s="28" t="s">
        <v>752</v>
      </c>
      <c r="BX15" s="28" t="s">
        <v>753</v>
      </c>
      <c r="BY15" s="28" t="s">
        <v>753</v>
      </c>
      <c r="BZ15" s="28" t="s">
        <v>753</v>
      </c>
      <c r="CA15" s="28" t="s">
        <v>754</v>
      </c>
      <c r="CB15" s="28" t="s">
        <v>754</v>
      </c>
      <c r="CC15" s="28" t="s">
        <v>754</v>
      </c>
      <c r="CD15" s="28" t="s">
        <v>754</v>
      </c>
      <c r="CE15" s="28" t="s">
        <v>755</v>
      </c>
      <c r="CF15" s="28" t="s">
        <v>755</v>
      </c>
      <c r="CG15" s="28" t="s">
        <v>756</v>
      </c>
      <c r="CH15" s="28" t="s">
        <v>756</v>
      </c>
      <c r="CI15" s="28" t="s">
        <v>756</v>
      </c>
      <c r="CJ15" s="28" t="s">
        <v>757</v>
      </c>
      <c r="CK15" s="28" t="s">
        <v>757</v>
      </c>
      <c r="CL15" s="28" t="s">
        <v>758</v>
      </c>
      <c r="CM15" s="28" t="s">
        <v>758</v>
      </c>
      <c r="CN15" s="28" t="s">
        <v>758</v>
      </c>
      <c r="CO15" s="28" t="s">
        <v>758</v>
      </c>
      <c r="CP15" s="28" t="s">
        <v>759</v>
      </c>
      <c r="CQ15" s="28" t="s">
        <v>759</v>
      </c>
      <c r="CR15" s="28" t="s">
        <v>760</v>
      </c>
      <c r="CS15" s="28" t="s">
        <v>760</v>
      </c>
      <c r="CT15" s="28" t="s">
        <v>760</v>
      </c>
      <c r="CU15" s="28" t="s">
        <v>760</v>
      </c>
      <c r="CV15" s="28" t="s">
        <v>760</v>
      </c>
      <c r="CW15" s="28" t="s">
        <v>760</v>
      </c>
      <c r="CX15" s="28" t="s">
        <v>761</v>
      </c>
      <c r="CY15" s="28" t="s">
        <v>761</v>
      </c>
      <c r="CZ15" s="28" t="s">
        <v>762</v>
      </c>
      <c r="DA15" s="28" t="s">
        <v>762</v>
      </c>
      <c r="DB15" s="28" t="s">
        <v>762</v>
      </c>
      <c r="DC15" s="28" t="s">
        <v>762</v>
      </c>
      <c r="DD15" s="28" t="s">
        <v>763</v>
      </c>
      <c r="DE15" s="87" t="s">
        <v>764</v>
      </c>
      <c r="DF15" s="87" t="s">
        <v>764</v>
      </c>
      <c r="DG15" s="28" t="s">
        <v>765</v>
      </c>
      <c r="DH15" s="28" t="s">
        <v>765</v>
      </c>
      <c r="DI15" s="17" t="s">
        <v>766</v>
      </c>
      <c r="DJ15" s="17" t="s">
        <v>766</v>
      </c>
      <c r="DK15" s="17" t="s">
        <v>766</v>
      </c>
      <c r="DL15" s="87" t="s">
        <v>767</v>
      </c>
      <c r="DM15" s="87" t="s">
        <v>767</v>
      </c>
      <c r="DN15" s="87" t="s">
        <v>767</v>
      </c>
      <c r="DO15" s="28" t="s">
        <v>768</v>
      </c>
      <c r="DP15" s="28" t="s">
        <v>768</v>
      </c>
      <c r="DQ15" s="28" t="s">
        <v>769</v>
      </c>
      <c r="DR15" s="28" t="s">
        <v>769</v>
      </c>
      <c r="DS15" s="28" t="s">
        <v>769</v>
      </c>
      <c r="DT15" s="28" t="s">
        <v>769</v>
      </c>
      <c r="DU15" s="28" t="s">
        <v>769</v>
      </c>
      <c r="DV15" s="28" t="s">
        <v>769</v>
      </c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3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3"/>
      <c r="GA15" s="134"/>
      <c r="GB15" s="134"/>
      <c r="GC15" s="134"/>
      <c r="GD15" s="134"/>
      <c r="GE15" s="134"/>
    </row>
    <row r="16" spans="1:187" ht="12.75" customHeight="1">
      <c r="A16" s="70" t="s">
        <v>521</v>
      </c>
      <c r="B16" s="74" t="str">
        <f ca="1">CONCATENATE("Mob"," ",VLOOKUP("Unprotected",Zone_Traduction,ref_langue,FALSE))</f>
        <v>Mob Unprotected</v>
      </c>
      <c r="C16" s="28">
        <v>6</v>
      </c>
      <c r="D16" s="28">
        <v>5</v>
      </c>
      <c r="E16" s="28">
        <v>4</v>
      </c>
      <c r="F16" s="28">
        <v>2</v>
      </c>
      <c r="G16" s="28">
        <v>0</v>
      </c>
      <c r="H16" s="84">
        <v>0</v>
      </c>
      <c r="J16" s="74" t="str">
        <f ca="1">CONCATENATE("BWG"," ",VLOOKUP("Bw*",Zone_Traduction,ref_langue,FALSE))</f>
        <v>BWG Bw*</v>
      </c>
      <c r="K16" s="88">
        <v>3</v>
      </c>
      <c r="M16" s="135">
        <v>25</v>
      </c>
      <c r="N16" s="136">
        <v>2</v>
      </c>
      <c r="Q16" s="137" t="str">
        <f ca="1">CONCATENATE("montes"," ",VLOOKUP("Swordsmen",Zone_Traduction,ref_langue,FALSE))</f>
        <v>montes Swordsmen</v>
      </c>
      <c r="R16" s="138">
        <v>2</v>
      </c>
      <c r="AF16" s="71">
        <v>14</v>
      </c>
      <c r="AG16" s="86">
        <f t="shared" si="3"/>
        <v>0.3571428571428571</v>
      </c>
      <c r="AH16" s="86">
        <f t="shared" si="3"/>
        <v>0.7142857142857142</v>
      </c>
      <c r="AI16" s="86">
        <f t="shared" si="3"/>
        <v>1.0714285714285714</v>
      </c>
      <c r="AJ16" s="86">
        <f t="shared" si="3"/>
        <v>1.4285714285714284</v>
      </c>
      <c r="AK16" s="86">
        <f t="shared" si="3"/>
        <v>1.7857142857142858</v>
      </c>
      <c r="AL16" s="86">
        <f t="shared" si="3"/>
        <v>2.142857142857143</v>
      </c>
      <c r="AM16" s="86">
        <f t="shared" si="3"/>
        <v>2.5</v>
      </c>
      <c r="AN16" s="86">
        <f t="shared" si="3"/>
        <v>2.8571428571428568</v>
      </c>
      <c r="AO16" s="86">
        <f t="shared" si="3"/>
        <v>3.2142857142857144</v>
      </c>
      <c r="AP16" s="86">
        <f t="shared" si="3"/>
        <v>3.5714285714285716</v>
      </c>
      <c r="AQ16" s="86">
        <f t="shared" si="3"/>
        <v>3.9285714285714284</v>
      </c>
      <c r="AR16" s="86">
        <f t="shared" si="3"/>
        <v>4.285714285714286</v>
      </c>
      <c r="AS16" s="86">
        <f t="shared" si="3"/>
        <v>4.642857142857143</v>
      </c>
      <c r="AT16">
        <v>10</v>
      </c>
      <c r="BI16" s="66">
        <f>IF('Liste Armée'!E27="SCh",1,0)</f>
        <v>0</v>
      </c>
      <c r="BJ16" s="66" t="str">
        <f>IF(OR('Liste Armée'!$E27="HF",'Liste Armée'!$E27="MF",'Liste Armée'!$E27="LF"),"infanterie",IF(OR('Liste Armée'!$E27="Kn",'Liste Armée'!$E27="Ct",'Liste Armée'!$E27="Cv",'Liste Armée'!$E27="LH",'Liste Armée'!$E27="LCh",'Liste Armée'!$E27="HCh",'Liste Armée'!$E27="SCh",'Liste Armée'!$E27="EL"),"montes",IF(OR('Liste Armée'!$E27="BWG"),"BWG","special")))</f>
        <v>montes</v>
      </c>
      <c r="BK16" s="14">
        <f ca="1">VLOOKUP('Liste Armée'!$E27&amp;" "&amp;'Liste Armée'!$F27,Table_budget,MATCH('Liste Armée'!$G27,Colonnes_table_budget,FALSE),FALSE)+IF('Liste Armée'!$H27=VLOOKUP("Drilled",Zone_Traduction,ref_langue,FALSE),VLOOKUP('Liste Armée'!$E27&amp;" "&amp;'Liste Armée'!$F27,Table_budget,MATCH(VLOOKUP("Drilled",Zone_Traduction,ref_langue,FALSE),Colonnes_table_budget,FALSE),FALSE),0)+IF(ISERROR(VLOOKUP(BJ16&amp;" "&amp;$G16,Table_armes_tir,2,FALSE)),0,VLOOKUP(BJ16&amp;" "&amp;$G16,Table_armes_tir,2,FALSE))+IF(ISERROR(VLOOKUP(BJ16&amp;" "&amp;$I16,Table_armes_melee,2,FALSE)),0,VLOOKUP(BJ16&amp;" "&amp;$I16,Table_armes_melee,2,FALSE))+IF(ISERROR(VLOOKUP($J16,Table_special,2,FALSE)),0,VLOOKUP($J16,Table_special,2,FALSE))</f>
        <v>5</v>
      </c>
      <c r="BL16" s="14">
        <f>'Liste Armée'!$M27*'Liste Armée'!$L27</f>
        <v>32</v>
      </c>
      <c r="BM16" s="9"/>
      <c r="BN16" s="14">
        <f>IF(OR('Liste Armée'!$E27="CV",'Liste Armée'!$E27="LH",'Liste Armée'!$E27="LCH"),'Liste Armée'!$L27,0)</f>
        <v>4</v>
      </c>
      <c r="BP16" s="139" t="s">
        <v>770</v>
      </c>
      <c r="BQ16" s="140"/>
      <c r="BR16" s="140"/>
      <c r="BS16" s="140"/>
      <c r="BT16" s="140"/>
      <c r="BU16" s="141" t="s">
        <v>771</v>
      </c>
      <c r="BV16" s="141" t="s">
        <v>771</v>
      </c>
      <c r="BW16" s="141" t="s">
        <v>771</v>
      </c>
      <c r="BX16" s="140" t="s">
        <v>772</v>
      </c>
      <c r="BY16" s="140" t="s">
        <v>772</v>
      </c>
      <c r="BZ16" s="140" t="s">
        <v>773</v>
      </c>
      <c r="CA16" s="140" t="s">
        <v>773</v>
      </c>
      <c r="CB16" s="140" t="s">
        <v>774</v>
      </c>
      <c r="CC16" s="140" t="s">
        <v>774</v>
      </c>
      <c r="CD16" s="140" t="s">
        <v>774</v>
      </c>
      <c r="CE16" s="140" t="s">
        <v>774</v>
      </c>
      <c r="CF16" s="140" t="s">
        <v>774</v>
      </c>
      <c r="CG16" s="141" t="s">
        <v>775</v>
      </c>
      <c r="CH16" s="140" t="s">
        <v>776</v>
      </c>
      <c r="CI16" s="140" t="s">
        <v>777</v>
      </c>
      <c r="CJ16" s="140" t="s">
        <v>777</v>
      </c>
      <c r="CK16" s="140" t="s">
        <v>777</v>
      </c>
      <c r="CL16" s="140" t="s">
        <v>777</v>
      </c>
      <c r="CM16" s="140" t="s">
        <v>777</v>
      </c>
      <c r="CN16" s="140" t="s">
        <v>777</v>
      </c>
      <c r="CO16" s="140" t="s">
        <v>778</v>
      </c>
      <c r="CP16" s="140" t="s">
        <v>778</v>
      </c>
      <c r="CQ16" s="140" t="s">
        <v>779</v>
      </c>
      <c r="CR16" s="140" t="s">
        <v>779</v>
      </c>
      <c r="CS16" s="140" t="s">
        <v>779</v>
      </c>
      <c r="CT16" s="140" t="s">
        <v>779</v>
      </c>
      <c r="CU16" s="141" t="s">
        <v>780</v>
      </c>
      <c r="CV16" s="141" t="s">
        <v>780</v>
      </c>
      <c r="CW16" s="141" t="s">
        <v>780</v>
      </c>
      <c r="CX16" s="141" t="s">
        <v>781</v>
      </c>
      <c r="CY16" s="141" t="s">
        <v>781</v>
      </c>
      <c r="CZ16" s="141" t="s">
        <v>781</v>
      </c>
      <c r="DA16" s="141" t="s">
        <v>781</v>
      </c>
      <c r="DB16" s="141" t="s">
        <v>781</v>
      </c>
      <c r="DC16" s="140" t="s">
        <v>782</v>
      </c>
      <c r="DD16" s="140" t="s">
        <v>782</v>
      </c>
      <c r="DE16" s="140" t="s">
        <v>782</v>
      </c>
      <c r="DF16" s="140" t="s">
        <v>782</v>
      </c>
      <c r="DG16" s="140" t="s">
        <v>782</v>
      </c>
      <c r="DH16" s="140" t="s">
        <v>782</v>
      </c>
      <c r="DI16" s="140" t="s">
        <v>782</v>
      </c>
      <c r="DJ16" s="140" t="s">
        <v>783</v>
      </c>
      <c r="DK16" s="140" t="s">
        <v>783</v>
      </c>
      <c r="DL16" s="140" t="s">
        <v>784</v>
      </c>
      <c r="DM16" s="140" t="s">
        <v>784</v>
      </c>
      <c r="DN16" s="140" t="s">
        <v>785</v>
      </c>
      <c r="DO16" s="140" t="s">
        <v>785</v>
      </c>
      <c r="DP16" s="140" t="s">
        <v>786</v>
      </c>
      <c r="DQ16" s="140" t="s">
        <v>786</v>
      </c>
      <c r="DR16" s="140" t="s">
        <v>786</v>
      </c>
      <c r="DS16" s="140" t="s">
        <v>786</v>
      </c>
      <c r="DT16" s="141" t="s">
        <v>787</v>
      </c>
      <c r="DU16" s="141" t="s">
        <v>787</v>
      </c>
      <c r="DV16" s="141" t="s">
        <v>787</v>
      </c>
      <c r="DW16" s="141" t="s">
        <v>787</v>
      </c>
      <c r="DX16" s="140" t="s">
        <v>788</v>
      </c>
      <c r="DY16" s="140" t="s">
        <v>788</v>
      </c>
      <c r="DZ16" s="140" t="s">
        <v>788</v>
      </c>
      <c r="EA16" s="140" t="s">
        <v>789</v>
      </c>
      <c r="EB16" s="140" t="s">
        <v>789</v>
      </c>
      <c r="EC16" s="140" t="s">
        <v>790</v>
      </c>
      <c r="ED16" s="140" t="s">
        <v>790</v>
      </c>
      <c r="EE16" s="140" t="s">
        <v>790</v>
      </c>
      <c r="EF16" s="140" t="s">
        <v>790</v>
      </c>
      <c r="EG16" s="140" t="s">
        <v>791</v>
      </c>
      <c r="EH16" s="140" t="s">
        <v>791</v>
      </c>
      <c r="EI16" s="140" t="s">
        <v>791</v>
      </c>
      <c r="EJ16" s="140" t="s">
        <v>792</v>
      </c>
      <c r="EK16" s="140" t="s">
        <v>792</v>
      </c>
      <c r="EL16" s="140" t="s">
        <v>792</v>
      </c>
      <c r="EM16" s="142"/>
      <c r="EN16" s="142"/>
      <c r="EO16" s="142"/>
      <c r="EP16" s="142"/>
      <c r="EQ16" s="142"/>
      <c r="ER16" s="142"/>
      <c r="ES16" s="142"/>
      <c r="ET16" s="142"/>
      <c r="EU16" s="142"/>
      <c r="EV16" s="143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3"/>
      <c r="GA16" s="144"/>
      <c r="GB16" s="144"/>
      <c r="GC16" s="144"/>
      <c r="GD16" s="144"/>
      <c r="GE16" s="144"/>
    </row>
    <row r="17" spans="1:66" ht="12.75" customHeight="1">
      <c r="A17" s="70" t="s">
        <v>793</v>
      </c>
      <c r="B17" s="74" t="str">
        <f ca="1">CONCATENATE("Kn"," ",VLOOKUP("Heavily armoured",Zone_Traduction,ref_langue,FALSE))</f>
        <v>Kn Heavily Armoured</v>
      </c>
      <c r="C17" s="28">
        <v>24</v>
      </c>
      <c r="D17" s="28">
        <v>20</v>
      </c>
      <c r="E17" s="28">
        <v>15</v>
      </c>
      <c r="F17" s="28"/>
      <c r="G17" s="28">
        <v>3</v>
      </c>
      <c r="H17" s="84">
        <v>0</v>
      </c>
      <c r="J17" s="74" t="str">
        <f ca="1">CONCATENATE("BWG"," ",VLOOKUP("crossbow",Zone_Traduction,ref_langue,FALSE))</f>
        <v>BWG Crossbow</v>
      </c>
      <c r="K17" s="88">
        <v>3</v>
      </c>
      <c r="Q17" s="120"/>
      <c r="AF17" s="71">
        <v>15</v>
      </c>
      <c r="AG17" s="86">
        <f t="shared" si="3"/>
        <v>0.3333333333333333</v>
      </c>
      <c r="AH17" s="86">
        <f t="shared" si="3"/>
        <v>0.6666666666666666</v>
      </c>
      <c r="AI17" s="86">
        <f t="shared" si="3"/>
        <v>1</v>
      </c>
      <c r="AJ17" s="86">
        <f t="shared" si="3"/>
        <v>1.3333333333333333</v>
      </c>
      <c r="AK17" s="86">
        <f t="shared" si="3"/>
        <v>1.6666666666666665</v>
      </c>
      <c r="AL17" s="86">
        <f t="shared" si="3"/>
        <v>2</v>
      </c>
      <c r="AM17" s="86">
        <f t="shared" si="3"/>
        <v>2.3333333333333335</v>
      </c>
      <c r="AN17" s="86">
        <f t="shared" si="3"/>
        <v>2.6666666666666665</v>
      </c>
      <c r="AO17" s="86">
        <f t="shared" si="3"/>
        <v>3</v>
      </c>
      <c r="AP17" s="86">
        <f t="shared" si="3"/>
        <v>3.333333333333333</v>
      </c>
      <c r="AQ17" s="86">
        <f t="shared" si="3"/>
        <v>3.6666666666666665</v>
      </c>
      <c r="AR17" s="86">
        <f t="shared" si="3"/>
        <v>4</v>
      </c>
      <c r="AS17" s="86">
        <f t="shared" si="3"/>
        <v>4.333333333333334</v>
      </c>
      <c r="AT17" s="86">
        <f t="shared" si="3"/>
        <v>4.666666666666667</v>
      </c>
      <c r="AU17">
        <v>10</v>
      </c>
      <c r="BI17" s="66">
        <f>IF('Liste Armée'!E28="SCh",1,0)</f>
        <v>0</v>
      </c>
      <c r="BJ17" s="66" t="str">
        <f>IF(OR('Liste Armée'!$E28="HF",'Liste Armée'!$E28="MF",'Liste Armée'!$E28="LF"),"infanterie",IF(OR('Liste Armée'!$E28="Kn",'Liste Armée'!$E28="Ct",'Liste Armée'!$E28="Cv",'Liste Armée'!$E28="LH",'Liste Armée'!$E28="LCh",'Liste Armée'!$E28="HCh",'Liste Armée'!$E28="SCh",'Liste Armée'!$E28="EL"),"montes",IF(OR('Liste Armée'!$E28="BWG"),"BWG","special")))</f>
        <v>montes</v>
      </c>
      <c r="BK17" s="14">
        <f ca="1">VLOOKUP('Liste Armée'!$E28&amp;" "&amp;'Liste Armée'!$F28,Table_budget,MATCH('Liste Armée'!$G28,Colonnes_table_budget,FALSE),FALSE)+IF('Liste Armée'!$H28=VLOOKUP("Drilled",Zone_Traduction,ref_langue,FALSE),VLOOKUP('Liste Armée'!$E28&amp;" "&amp;'Liste Armée'!$F28,Table_budget,MATCH(VLOOKUP("Drilled",Zone_Traduction,ref_langue,FALSE),Colonnes_table_budget,FALSE),FALSE),0)+IF(ISERROR(VLOOKUP(BJ17&amp;" "&amp;$G17,Table_armes_tir,2,FALSE)),0,VLOOKUP(BJ17&amp;" "&amp;$G17,Table_armes_tir,2,FALSE))+IF(ISERROR(VLOOKUP(BJ17&amp;" "&amp;$I17,Table_armes_melee,2,FALSE)),0,VLOOKUP(BJ17&amp;" "&amp;$I17,Table_armes_melee,2,FALSE))+IF(ISERROR(VLOOKUP($J17,Table_special,2,FALSE)),0,VLOOKUP($J17,Table_special,2,FALSE))</f>
        <v>5</v>
      </c>
      <c r="BL17" s="14">
        <f>'Liste Armée'!$M28*'Liste Armée'!$L28</f>
        <v>32</v>
      </c>
      <c r="BM17" s="9"/>
      <c r="BN17" s="14">
        <f>IF(OR('Liste Armée'!$E28="CV",'Liste Armée'!$E28="LH",'Liste Armée'!$E28="LCH"),'Liste Armée'!$L28,0)</f>
        <v>4</v>
      </c>
    </row>
    <row r="18" spans="1:66" ht="12.75" customHeight="1">
      <c r="A18" s="70" t="s">
        <v>793</v>
      </c>
      <c r="B18" s="74" t="str">
        <f ca="1">CONCATENATE("Kn"," ",VLOOKUP("Armoured",Zone_Traduction,ref_langue,FALSE))</f>
        <v>Kn Armoured</v>
      </c>
      <c r="C18" s="28">
        <v>20</v>
      </c>
      <c r="D18" s="28">
        <v>17</v>
      </c>
      <c r="E18" s="28">
        <v>13</v>
      </c>
      <c r="F18" s="28"/>
      <c r="G18" s="28">
        <v>2</v>
      </c>
      <c r="H18" s="84">
        <v>0</v>
      </c>
      <c r="J18" s="74" t="str">
        <f ca="1">CONCATENATE("BWG"," ",VLOOKUP("light artillery",Zone_Traduction,ref_langue,FALSE))</f>
        <v>BWG Light Artillery</v>
      </c>
      <c r="K18" s="88">
        <v>6</v>
      </c>
      <c r="M18" s="72" t="s">
        <v>794</v>
      </c>
      <c r="N18" s="73"/>
      <c r="Q18" s="120"/>
      <c r="AF18" s="71">
        <v>16</v>
      </c>
      <c r="AG18" s="86">
        <f t="shared" si="3"/>
        <v>0.3125</v>
      </c>
      <c r="AH18" s="86">
        <f t="shared" si="3"/>
        <v>0.625</v>
      </c>
      <c r="AI18" s="86">
        <f t="shared" si="3"/>
        <v>0.9375</v>
      </c>
      <c r="AJ18" s="86">
        <f t="shared" si="3"/>
        <v>1.25</v>
      </c>
      <c r="AK18" s="86">
        <f t="shared" si="3"/>
        <v>1.5625</v>
      </c>
      <c r="AL18" s="86">
        <f t="shared" si="3"/>
        <v>1.875</v>
      </c>
      <c r="AM18" s="86">
        <f t="shared" si="3"/>
        <v>2.1875</v>
      </c>
      <c r="AN18" s="86">
        <f t="shared" si="3"/>
        <v>2.5</v>
      </c>
      <c r="AO18" s="86">
        <f t="shared" si="3"/>
        <v>2.8125</v>
      </c>
      <c r="AP18" s="86">
        <f t="shared" si="3"/>
        <v>3.125</v>
      </c>
      <c r="AQ18" s="86">
        <f t="shared" si="3"/>
        <v>3.4375</v>
      </c>
      <c r="AR18" s="86">
        <f t="shared" si="3"/>
        <v>3.75</v>
      </c>
      <c r="AS18" s="86">
        <f t="shared" si="3"/>
        <v>4.0625</v>
      </c>
      <c r="AT18" s="86">
        <f t="shared" si="3"/>
        <v>4.375</v>
      </c>
      <c r="AU18" s="86">
        <f t="shared" si="3"/>
        <v>4.6875</v>
      </c>
      <c r="AV18">
        <v>10</v>
      </c>
      <c r="BI18" s="66">
        <f>IF('Liste Armée'!E29="SCh",1,0)</f>
        <v>0</v>
      </c>
      <c r="BJ18" s="66" t="str">
        <f>IF(OR('Liste Armée'!$E29="HF",'Liste Armée'!$E29="MF",'Liste Armée'!$E29="LF"),"infanterie",IF(OR('Liste Armée'!$E29="Kn",'Liste Armée'!$E29="Ct",'Liste Armée'!$E29="Cv",'Liste Armée'!$E29="LH",'Liste Armée'!$E29="LCh",'Liste Armée'!$E29="HCh",'Liste Armée'!$E29="SCh",'Liste Armée'!$E29="EL"),"montes",IF(OR('Liste Armée'!$E29="BWG"),"BWG","special")))</f>
        <v>montes</v>
      </c>
      <c r="BK18" s="14">
        <f ca="1">VLOOKUP('Liste Armée'!$E29&amp;" "&amp;'Liste Armée'!$F29,Table_budget,MATCH('Liste Armée'!$G29,Colonnes_table_budget,FALSE),FALSE)+IF('Liste Armée'!$H29=VLOOKUP("Drilled",Zone_Traduction,ref_langue,FALSE),VLOOKUP('Liste Armée'!$E29&amp;" "&amp;'Liste Armée'!$F29,Table_budget,MATCH(VLOOKUP("Drilled",Zone_Traduction,ref_langue,FALSE),Colonnes_table_budget,FALSE),FALSE),0)+IF(ISERROR(VLOOKUP(BJ18&amp;" "&amp;$G18,Table_armes_tir,2,FALSE)),0,VLOOKUP(BJ18&amp;" "&amp;$G18,Table_armes_tir,2,FALSE))+IF(ISERROR(VLOOKUP(BJ18&amp;" "&amp;$I18,Table_armes_melee,2,FALSE)),0,VLOOKUP(BJ18&amp;" "&amp;$I18,Table_armes_melee,2,FALSE))+IF(ISERROR(VLOOKUP($J18,Table_special,2,FALSE)),0,VLOOKUP($J18,Table_special,2,FALSE))</f>
        <v>5</v>
      </c>
      <c r="BL18" s="14">
        <f>'Liste Armée'!$M29*'Liste Armée'!$L29</f>
        <v>32</v>
      </c>
      <c r="BM18" s="9"/>
      <c r="BN18" s="14">
        <f>IF(OR('Liste Armée'!$E29="CV",'Liste Armée'!$E29="LH",'Liste Armée'!$E29="LCH"),'Liste Armée'!$L29,0)</f>
        <v>4</v>
      </c>
    </row>
    <row r="19" spans="1:66" ht="12.75" customHeight="1">
      <c r="A19" s="70" t="s">
        <v>795</v>
      </c>
      <c r="B19" s="74" t="s">
        <v>796</v>
      </c>
      <c r="C19" s="28">
        <v>18</v>
      </c>
      <c r="D19" s="28">
        <v>15</v>
      </c>
      <c r="E19" s="28">
        <v>11</v>
      </c>
      <c r="F19" s="28">
        <v>8</v>
      </c>
      <c r="G19" s="28">
        <v>2</v>
      </c>
      <c r="H19" s="84">
        <v>0</v>
      </c>
      <c r="J19" s="137" t="str">
        <f ca="1">CONCATENATE("montes"," ",VLOOKUP("firearm",Zone_Traduction,ref_langue,FALSE))</f>
        <v>montes Firearm</v>
      </c>
      <c r="K19" s="145">
        <v>1</v>
      </c>
      <c r="M19" s="146">
        <v>0</v>
      </c>
      <c r="N19" s="124" t="s">
        <v>797</v>
      </c>
      <c r="AF19" s="71">
        <v>17</v>
      </c>
      <c r="AG19" s="86">
        <f t="shared" si="3"/>
        <v>0.29411764705882354</v>
      </c>
      <c r="AH19" s="86">
        <f t="shared" si="3"/>
        <v>0.5882352941176471</v>
      </c>
      <c r="AI19" s="86">
        <f t="shared" si="3"/>
        <v>0.8823529411764707</v>
      </c>
      <c r="AJ19" s="86">
        <f t="shared" si="3"/>
        <v>1.1764705882352942</v>
      </c>
      <c r="AK19" s="86">
        <f t="shared" si="3"/>
        <v>1.4705882352941178</v>
      </c>
      <c r="AL19" s="86">
        <f t="shared" si="3"/>
        <v>1.7647058823529413</v>
      </c>
      <c r="AM19" s="86">
        <f t="shared" si="3"/>
        <v>2.0588235294117645</v>
      </c>
      <c r="AN19" s="86">
        <f t="shared" si="3"/>
        <v>2.3529411764705883</v>
      </c>
      <c r="AO19" s="86">
        <f t="shared" si="3"/>
        <v>2.6470588235294117</v>
      </c>
      <c r="AP19" s="86">
        <f t="shared" si="3"/>
        <v>2.9411764705882355</v>
      </c>
      <c r="AQ19" s="86">
        <f t="shared" si="3"/>
        <v>3.235294117647059</v>
      </c>
      <c r="AR19" s="86">
        <f t="shared" si="3"/>
        <v>3.5294117647058827</v>
      </c>
      <c r="AS19" s="86">
        <f t="shared" si="3"/>
        <v>3.8235294117647056</v>
      </c>
      <c r="AT19" s="86">
        <f t="shared" si="3"/>
        <v>4.117647058823529</v>
      </c>
      <c r="AU19" s="86">
        <f t="shared" si="3"/>
        <v>4.411764705882353</v>
      </c>
      <c r="AV19" s="86">
        <f t="shared" si="3"/>
        <v>4.705882352941177</v>
      </c>
      <c r="AW19">
        <v>10</v>
      </c>
      <c r="BI19" s="66">
        <f>IF('Liste Armée'!E30="SCh",1,0)</f>
        <v>0</v>
      </c>
      <c r="BJ19" s="66" t="str">
        <f>IF(OR('Liste Armée'!$E30="HF",'Liste Armée'!$E30="MF",'Liste Armée'!$E30="LF"),"infanterie",IF(OR('Liste Armée'!$E30="Kn",'Liste Armée'!$E30="Ct",'Liste Armée'!$E30="Cv",'Liste Armée'!$E30="LH",'Liste Armée'!$E30="LCh",'Liste Armée'!$E30="HCh",'Liste Armée'!$E30="SCh",'Liste Armée'!$E30="EL"),"montes",IF(OR('Liste Armée'!$E30="BWG"),"BWG","special")))</f>
        <v>montes</v>
      </c>
      <c r="BK19" s="14">
        <f ca="1">VLOOKUP('Liste Armée'!$E30&amp;" "&amp;'Liste Armée'!$F30,Table_budget,MATCH('Liste Armée'!$G30,Colonnes_table_budget,FALSE),FALSE)+IF('Liste Armée'!$H30=VLOOKUP("Drilled",Zone_Traduction,ref_langue,FALSE),VLOOKUP('Liste Armée'!$E30&amp;" "&amp;'Liste Armée'!$F30,Table_budget,MATCH(VLOOKUP("Drilled",Zone_Traduction,ref_langue,FALSE),Colonnes_table_budget,FALSE),FALSE),0)+IF(ISERROR(VLOOKUP(BJ19&amp;" "&amp;$G19,Table_armes_tir,2,FALSE)),0,VLOOKUP(BJ19&amp;" "&amp;$G19,Table_armes_tir,2,FALSE))+IF(ISERROR(VLOOKUP(BJ19&amp;" "&amp;$I19,Table_armes_melee,2,FALSE)),0,VLOOKUP(BJ19&amp;" "&amp;$I19,Table_armes_melee,2,FALSE))+IF(ISERROR(VLOOKUP($J19,Table_special,2,FALSE)),0,VLOOKUP($J19,Table_special,2,FALSE))</f>
        <v>5</v>
      </c>
      <c r="BL19" s="14">
        <f>'Liste Armée'!$M30*'Liste Armée'!$L30</f>
        <v>32</v>
      </c>
      <c r="BM19" s="9"/>
      <c r="BN19" s="14">
        <f>IF(OR('Liste Armée'!$E30="CV",'Liste Armée'!$E30="LH",'Liste Armée'!$E30="LCH"),'Liste Armée'!$L30,0)</f>
        <v>4</v>
      </c>
    </row>
    <row r="20" spans="1:66" ht="12.75" customHeight="1">
      <c r="A20" s="70" t="s">
        <v>795</v>
      </c>
      <c r="B20" s="74" t="str">
        <f ca="1">CONCATENATE("Ct"," ",VLOOKUP("Heavily armoured",Zone_Traduction,ref_langue,FALSE))</f>
        <v>Ct Heavily Armoured</v>
      </c>
      <c r="C20" s="28">
        <v>18</v>
      </c>
      <c r="D20" s="28">
        <v>15</v>
      </c>
      <c r="E20" s="28">
        <v>11</v>
      </c>
      <c r="F20" s="28">
        <v>8</v>
      </c>
      <c r="G20" s="28">
        <v>2</v>
      </c>
      <c r="H20" s="84">
        <v>0</v>
      </c>
      <c r="M20" s="146"/>
      <c r="N20" s="124"/>
      <c r="AF20" s="71">
        <v>18</v>
      </c>
      <c r="AG20" s="86">
        <f t="shared" si="3"/>
        <v>0.2777777777777778</v>
      </c>
      <c r="AH20" s="86">
        <f t="shared" si="3"/>
        <v>0.5555555555555556</v>
      </c>
      <c r="AI20" s="86">
        <f t="shared" si="3"/>
        <v>0.8333333333333333</v>
      </c>
      <c r="AJ20" s="86">
        <f t="shared" si="3"/>
        <v>1.1111111111111112</v>
      </c>
      <c r="AK20" s="86">
        <f t="shared" si="3"/>
        <v>1.3888888888888888</v>
      </c>
      <c r="AL20" s="86">
        <f t="shared" si="3"/>
        <v>1.6666666666666665</v>
      </c>
      <c r="AM20" s="86">
        <f t="shared" si="3"/>
        <v>1.9444444444444444</v>
      </c>
      <c r="AN20" s="86">
        <f t="shared" si="3"/>
        <v>2.2222222222222223</v>
      </c>
      <c r="AO20" s="86">
        <f t="shared" si="3"/>
        <v>2.5</v>
      </c>
      <c r="AP20" s="86">
        <f t="shared" si="3"/>
        <v>2.7777777777777777</v>
      </c>
      <c r="AQ20" s="86">
        <f t="shared" si="3"/>
        <v>3.055555555555556</v>
      </c>
      <c r="AR20" s="86">
        <f t="shared" si="3"/>
        <v>3.333333333333333</v>
      </c>
      <c r="AS20" s="86">
        <f t="shared" si="3"/>
        <v>3.611111111111111</v>
      </c>
      <c r="AT20" s="86">
        <f t="shared" si="3"/>
        <v>3.888888888888889</v>
      </c>
      <c r="AU20" s="86">
        <f t="shared" si="3"/>
        <v>4.166666666666667</v>
      </c>
      <c r="AV20" s="86">
        <f t="shared" si="3"/>
        <v>4.444444444444445</v>
      </c>
      <c r="AW20" s="86">
        <f>(AW$2/$AF20)*5</f>
        <v>4.722222222222222</v>
      </c>
      <c r="AX20">
        <v>10</v>
      </c>
      <c r="BI20" s="66">
        <f>IF('Liste Armée'!E31="SCh",1,0)</f>
        <v>0</v>
      </c>
      <c r="BJ20" s="66" t="str">
        <f>IF(OR('Liste Armée'!$E31="HF",'Liste Armée'!$E31="MF",'Liste Armée'!$E31="LF"),"infanterie",IF(OR('Liste Armée'!$E31="Kn",'Liste Armée'!$E31="Ct",'Liste Armée'!$E31="Cv",'Liste Armée'!$E31="LH",'Liste Armée'!$E31="LCh",'Liste Armée'!$E31="HCh",'Liste Armée'!$E31="SCh",'Liste Armée'!$E31="EL"),"montes",IF(OR('Liste Armée'!$E31="BWG"),"BWG","special")))</f>
        <v>montes</v>
      </c>
      <c r="BK20" s="14">
        <f ca="1">VLOOKUP('Liste Armée'!$E31&amp;" "&amp;'Liste Armée'!$F31,Table_budget,MATCH('Liste Armée'!$G31,Colonnes_table_budget,FALSE),FALSE)+IF('Liste Armée'!$H31=VLOOKUP("Drilled",Zone_Traduction,ref_langue,FALSE),VLOOKUP('Liste Armée'!$E31&amp;" "&amp;'Liste Armée'!$F31,Table_budget,MATCH(VLOOKUP("Drilled",Zone_Traduction,ref_langue,FALSE),Colonnes_table_budget,FALSE),FALSE),0)+IF(ISERROR(VLOOKUP(BJ20&amp;" "&amp;$G20,Table_armes_tir,2,FALSE)),0,VLOOKUP(BJ20&amp;" "&amp;$G20,Table_armes_tir,2,FALSE))+IF(ISERROR(VLOOKUP(BJ20&amp;" "&amp;$I20,Table_armes_melee,2,FALSE)),0,VLOOKUP(BJ20&amp;" "&amp;$I20,Table_armes_melee,2,FALSE))+IF(ISERROR(VLOOKUP($J20,Table_special,2,FALSE)),0,VLOOKUP($J20,Table_special,2,FALSE))</f>
        <v>15</v>
      </c>
      <c r="BL20" s="14">
        <f>'Liste Armée'!$M31*'Liste Armée'!$L31</f>
        <v>72</v>
      </c>
      <c r="BM20" s="9"/>
      <c r="BN20" s="14">
        <f>IF(OR('Liste Armée'!$E31="CV",'Liste Armée'!$E31="LH",'Liste Armée'!$E31="LCH"),'Liste Armée'!$L31,0)</f>
        <v>0</v>
      </c>
    </row>
    <row r="21" spans="1:66" ht="12.75" customHeight="1">
      <c r="A21" s="70" t="s">
        <v>798</v>
      </c>
      <c r="B21" s="74" t="str">
        <f ca="1">CONCATENATE("Cv"," ",VLOOKUP("Armoured",Zone_Traduction,ref_langue,FALSE))</f>
        <v>Cv Armoured</v>
      </c>
      <c r="C21" s="28">
        <v>16</v>
      </c>
      <c r="D21" s="28">
        <v>13</v>
      </c>
      <c r="E21" s="28">
        <v>9</v>
      </c>
      <c r="F21" s="28">
        <v>6</v>
      </c>
      <c r="G21" s="28">
        <v>1</v>
      </c>
      <c r="H21" s="84">
        <v>0</v>
      </c>
      <c r="J21" s="85" t="s">
        <v>799</v>
      </c>
      <c r="K21" s="147"/>
      <c r="M21" s="146">
        <v>1</v>
      </c>
      <c r="N21" s="124" t="s">
        <v>800</v>
      </c>
      <c r="AF21" s="71">
        <v>19</v>
      </c>
      <c r="AG21" s="86">
        <f t="shared" si="3"/>
        <v>0.2631578947368421</v>
      </c>
      <c r="AH21" s="86">
        <f t="shared" si="3"/>
        <v>0.5263157894736842</v>
      </c>
      <c r="AI21" s="86">
        <f t="shared" si="3"/>
        <v>0.7894736842105263</v>
      </c>
      <c r="AJ21" s="86">
        <f t="shared" si="3"/>
        <v>1.0526315789473684</v>
      </c>
      <c r="AK21" s="86">
        <f t="shared" si="3"/>
        <v>1.3157894736842104</v>
      </c>
      <c r="AL21" s="86">
        <f t="shared" si="3"/>
        <v>1.5789473684210527</v>
      </c>
      <c r="AM21" s="86">
        <f t="shared" si="3"/>
        <v>1.8421052631578947</v>
      </c>
      <c r="AN21" s="86">
        <f t="shared" si="3"/>
        <v>2.1052631578947367</v>
      </c>
      <c r="AO21" s="86">
        <f t="shared" si="3"/>
        <v>2.3684210526315788</v>
      </c>
      <c r="AP21" s="86">
        <f t="shared" si="3"/>
        <v>2.631578947368421</v>
      </c>
      <c r="AQ21" s="86">
        <f t="shared" si="3"/>
        <v>2.8947368421052633</v>
      </c>
      <c r="AR21" s="86">
        <f t="shared" si="3"/>
        <v>3.1578947368421053</v>
      </c>
      <c r="AS21" s="86">
        <f t="shared" si="3"/>
        <v>3.4210526315789473</v>
      </c>
      <c r="AT21" s="86">
        <f t="shared" si="3"/>
        <v>3.6842105263157894</v>
      </c>
      <c r="AU21" s="86">
        <f t="shared" si="3"/>
        <v>3.947368421052632</v>
      </c>
      <c r="AV21" s="86">
        <f t="shared" si="3"/>
        <v>4.2105263157894735</v>
      </c>
      <c r="AW21" s="86">
        <f>(AW$2/$AF21)*5</f>
        <v>4.473684210526316</v>
      </c>
      <c r="AX21" s="86">
        <f>(AX$2/$AF21)*5</f>
        <v>4.7368421052631575</v>
      </c>
      <c r="AY21">
        <v>10</v>
      </c>
      <c r="BI21" s="66">
        <f>IF('Liste Armée'!E32="SCh",1,0)</f>
        <v>0</v>
      </c>
      <c r="BJ21" s="66" t="str">
        <f>IF(OR('Liste Armée'!$E32="HF",'Liste Armée'!$E32="MF",'Liste Armée'!$E32="LF"),"infanterie",IF(OR('Liste Armée'!$E32="Kn",'Liste Armée'!$E32="Ct",'Liste Armée'!$E32="Cv",'Liste Armée'!$E32="LH",'Liste Armée'!$E32="LCh",'Liste Armée'!$E32="HCh",'Liste Armée'!$E32="SCh",'Liste Armée'!$E32="EL"),"montes",IF(OR('Liste Armée'!$E32="BWG"),"BWG","special")))</f>
        <v>montes</v>
      </c>
      <c r="BK21" s="14">
        <f ca="1">VLOOKUP('Liste Armée'!$E32&amp;" "&amp;'Liste Armée'!$F32,Table_budget,MATCH('Liste Armée'!$G32,Colonnes_table_budget,FALSE),FALSE)+IF('Liste Armée'!$H32=VLOOKUP("Drilled",Zone_Traduction,ref_langue,FALSE),VLOOKUP('Liste Armée'!$E32&amp;" "&amp;'Liste Armée'!$F32,Table_budget,MATCH(VLOOKUP("Drilled",Zone_Traduction,ref_langue,FALSE),Colonnes_table_budget,FALSE),FALSE),0)+IF(ISERROR(VLOOKUP(BJ21&amp;" "&amp;$G21,Table_armes_tir,2,FALSE)),0,VLOOKUP(BJ21&amp;" "&amp;$G21,Table_armes_tir,2,FALSE))+IF(ISERROR(VLOOKUP(BJ21&amp;" "&amp;$I21,Table_armes_melee,2,FALSE)),0,VLOOKUP(BJ21&amp;" "&amp;$I21,Table_armes_melee,2,FALSE))+IF(ISERROR(VLOOKUP($J21,Table_special,2,FALSE)),0,VLOOKUP($J21,Table_special,2,FALSE))</f>
        <v>15</v>
      </c>
      <c r="BL21" s="14">
        <f>'Liste Armée'!$M32*'Liste Armée'!$L32</f>
        <v>72</v>
      </c>
      <c r="BM21" s="9"/>
      <c r="BN21" s="14">
        <f>IF(OR('Liste Armée'!$E32="CV",'Liste Armée'!$E32="LH",'Liste Armée'!$E32="LCH"),'Liste Armée'!$L32,0)</f>
        <v>0</v>
      </c>
    </row>
    <row r="22" spans="1:66" ht="12.75" customHeight="1">
      <c r="A22" s="70" t="s">
        <v>798</v>
      </c>
      <c r="B22" s="74" t="str">
        <f ca="1">CONCATENATE("Cv"," ",VLOOKUP("Protected",Zone_Traduction,ref_langue,FALSE))</f>
        <v>Cv Protected</v>
      </c>
      <c r="C22" s="28">
        <v>11</v>
      </c>
      <c r="D22" s="28">
        <v>9</v>
      </c>
      <c r="E22" s="28">
        <v>6</v>
      </c>
      <c r="F22" s="28">
        <v>4</v>
      </c>
      <c r="G22" s="28">
        <v>1</v>
      </c>
      <c r="H22" s="84">
        <v>0</v>
      </c>
      <c r="J22" s="74" t="str">
        <f ca="1">CONCATENATE("montes"," ",VLOOKUP("Light spear",Zone_Traduction,ref_langue,FALSE))</f>
        <v>montes Light Spear</v>
      </c>
      <c r="K22" s="148">
        <v>1</v>
      </c>
      <c r="M22" s="146">
        <v>2</v>
      </c>
      <c r="N22" s="124" t="s">
        <v>801</v>
      </c>
      <c r="AF22" s="71">
        <v>20</v>
      </c>
      <c r="AG22" s="86">
        <f t="shared" si="3"/>
        <v>0.25</v>
      </c>
      <c r="AH22" s="86">
        <f t="shared" si="3"/>
        <v>0.5</v>
      </c>
      <c r="AI22" s="86">
        <f t="shared" si="3"/>
        <v>0.75</v>
      </c>
      <c r="AJ22" s="86">
        <f t="shared" si="3"/>
        <v>1</v>
      </c>
      <c r="AK22" s="86">
        <f t="shared" si="3"/>
        <v>1.25</v>
      </c>
      <c r="AL22" s="86">
        <f t="shared" si="3"/>
        <v>1.5</v>
      </c>
      <c r="AM22" s="86">
        <f t="shared" si="3"/>
        <v>1.75</v>
      </c>
      <c r="AN22" s="86">
        <f t="shared" si="3"/>
        <v>2</v>
      </c>
      <c r="AO22" s="86">
        <f t="shared" si="3"/>
        <v>2.25</v>
      </c>
      <c r="AP22" s="86">
        <f t="shared" si="3"/>
        <v>2.5</v>
      </c>
      <c r="AQ22" s="86">
        <f t="shared" si="3"/>
        <v>2.75</v>
      </c>
      <c r="AR22" s="86">
        <f t="shared" si="3"/>
        <v>3</v>
      </c>
      <c r="AS22" s="86">
        <f t="shared" si="3"/>
        <v>3.25</v>
      </c>
      <c r="AT22" s="86">
        <f t="shared" si="3"/>
        <v>3.5</v>
      </c>
      <c r="AU22" s="86">
        <f t="shared" si="3"/>
        <v>3.75</v>
      </c>
      <c r="AV22" s="86">
        <f t="shared" si="3"/>
        <v>4</v>
      </c>
      <c r="AW22" s="86">
        <f>(AW$2/$AF22)*5</f>
        <v>4.25</v>
      </c>
      <c r="AX22" s="86">
        <f>(AX$2/$AF22)*5</f>
        <v>4.5</v>
      </c>
      <c r="AY22" s="86">
        <f>(AY$2/$AF22)*5</f>
        <v>4.75</v>
      </c>
      <c r="AZ22">
        <v>10</v>
      </c>
      <c r="BI22" s="66">
        <f>IF('Liste Armée'!E33="SCh",1,0)</f>
        <v>0</v>
      </c>
      <c r="BJ22" s="66" t="str">
        <f>IF(OR('Liste Armée'!$E33="HF",'Liste Armée'!$E33="MF",'Liste Armée'!$E33="LF"),"infanterie",IF(OR('Liste Armée'!$E33="Kn",'Liste Armée'!$E33="Ct",'Liste Armée'!$E33="Cv",'Liste Armée'!$E33="LH",'Liste Armée'!$E33="LCh",'Liste Armée'!$E33="HCh",'Liste Armée'!$E33="SCh",'Liste Armée'!$E33="EL"),"montes",IF(OR('Liste Armée'!$E33="BWG"),"BWG","special")))</f>
        <v>montes</v>
      </c>
      <c r="BK22" s="14">
        <f ca="1">VLOOKUP('Liste Armée'!$E33&amp;" "&amp;'Liste Armée'!$F33,Table_budget,MATCH('Liste Armée'!$G33,Colonnes_table_budget,FALSE),FALSE)+IF('Liste Armée'!$H33=VLOOKUP("Drilled",Zone_Traduction,ref_langue,FALSE),VLOOKUP('Liste Armée'!$E33&amp;" "&amp;'Liste Armée'!$F33,Table_budget,MATCH(VLOOKUP("Drilled",Zone_Traduction,ref_langue,FALSE),Colonnes_table_budget,FALSE),FALSE),0)+IF(ISERROR(VLOOKUP(BJ22&amp;" "&amp;$G22,Table_armes_tir,2,FALSE)),0,VLOOKUP(BJ22&amp;" "&amp;$G22,Table_armes_tir,2,FALSE))+IF(ISERROR(VLOOKUP(BJ22&amp;" "&amp;$I22,Table_armes_melee,2,FALSE)),0,VLOOKUP(BJ22&amp;" "&amp;$I22,Table_armes_melee,2,FALSE))+IF(ISERROR(VLOOKUP($J22,Table_special,2,FALSE)),0,VLOOKUP($J22,Table_special,2,FALSE))</f>
        <v>15</v>
      </c>
      <c r="BL22" s="14">
        <f>'Liste Armée'!$M33*'Liste Armée'!$L33</f>
        <v>72</v>
      </c>
      <c r="BM22" s="9"/>
      <c r="BN22" s="14">
        <f>IF(OR('Liste Armée'!$E33="CV",'Liste Armée'!$E33="LH",'Liste Armée'!$E33="LCH"),'Liste Armée'!$L33,0)</f>
        <v>0</v>
      </c>
    </row>
    <row r="23" spans="1:66" ht="12.75" customHeight="1">
      <c r="A23" s="70" t="s">
        <v>798</v>
      </c>
      <c r="B23" s="74" t="str">
        <f ca="1">CONCATENATE("Cv"," ",VLOOKUP("Unprotected",Zone_Traduction,ref_langue,FALSE))</f>
        <v>Cv Unprotected</v>
      </c>
      <c r="C23" s="28">
        <v>9</v>
      </c>
      <c r="D23" s="28">
        <v>7</v>
      </c>
      <c r="E23" s="28">
        <v>5</v>
      </c>
      <c r="F23" s="28">
        <v>3</v>
      </c>
      <c r="G23" s="28">
        <v>1</v>
      </c>
      <c r="H23" s="84">
        <v>0</v>
      </c>
      <c r="J23" s="74" t="str">
        <f ca="1">CONCATENATE("montes"," ",VLOOKUP("Lancer",Zone_Traduction,ref_langue,FALSE))</f>
        <v>montes Lancer</v>
      </c>
      <c r="K23" s="148">
        <v>1</v>
      </c>
      <c r="M23" s="146">
        <v>3</v>
      </c>
      <c r="N23" s="124" t="s">
        <v>802</v>
      </c>
      <c r="AF23" s="71">
        <v>21</v>
      </c>
      <c r="AG23" s="86">
        <f t="shared" si="3"/>
        <v>0.23809523809523808</v>
      </c>
      <c r="AH23" s="86">
        <f t="shared" si="3"/>
        <v>0.47619047619047616</v>
      </c>
      <c r="AI23" s="86">
        <f t="shared" si="3"/>
        <v>0.7142857142857142</v>
      </c>
      <c r="AJ23" s="86">
        <f t="shared" si="3"/>
        <v>0.9523809523809523</v>
      </c>
      <c r="AK23" s="86">
        <f t="shared" si="3"/>
        <v>1.1904761904761905</v>
      </c>
      <c r="AL23" s="86">
        <f t="shared" si="3"/>
        <v>1.4285714285714284</v>
      </c>
      <c r="AM23" s="86">
        <f t="shared" si="3"/>
        <v>1.6666666666666665</v>
      </c>
      <c r="AN23" s="86">
        <f t="shared" si="3"/>
        <v>1.9047619047619047</v>
      </c>
      <c r="AO23" s="86">
        <f t="shared" si="3"/>
        <v>2.142857142857143</v>
      </c>
      <c r="AP23" s="86">
        <f t="shared" si="3"/>
        <v>2.380952380952381</v>
      </c>
      <c r="AQ23" s="86">
        <f t="shared" si="3"/>
        <v>2.619047619047619</v>
      </c>
      <c r="AR23" s="86">
        <f t="shared" si="3"/>
        <v>2.8571428571428568</v>
      </c>
      <c r="AS23" s="86">
        <f t="shared" si="3"/>
        <v>3.0952380952380953</v>
      </c>
      <c r="AT23" s="86">
        <f t="shared" si="3"/>
        <v>3.333333333333333</v>
      </c>
      <c r="AU23" s="86">
        <f t="shared" si="3"/>
        <v>3.5714285714285716</v>
      </c>
      <c r="AV23" s="86">
        <f t="shared" si="3"/>
        <v>3.8095238095238093</v>
      </c>
      <c r="AW23" s="86">
        <f>(AW$2/$AF23)*5</f>
        <v>4.0476190476190474</v>
      </c>
      <c r="AX23" s="86">
        <f>(AX$2/$AF23)*5</f>
        <v>4.285714285714286</v>
      </c>
      <c r="AY23" s="86">
        <f>(AY$2/$AF23)*5</f>
        <v>4.523809523809524</v>
      </c>
      <c r="AZ23" s="86">
        <f>(AZ$2/$AF23)*5</f>
        <v>4.761904761904762</v>
      </c>
      <c r="BA23">
        <v>10</v>
      </c>
      <c r="BI23" s="66">
        <f>IF('Liste Armée'!E34="SCh",1,0)</f>
        <v>0</v>
      </c>
      <c r="BJ23" s="66" t="str">
        <f>IF(OR('Liste Armée'!$E34="HF",'Liste Armée'!$E34="MF",'Liste Armée'!$E34="LF"),"infanterie",IF(OR('Liste Armée'!$E34="Kn",'Liste Armée'!$E34="Ct",'Liste Armée'!$E34="Cv",'Liste Armée'!$E34="LH",'Liste Armée'!$E34="LCh",'Liste Armée'!$E34="HCh",'Liste Armée'!$E34="SCh",'Liste Armée'!$E34="EL"),"montes",IF(OR('Liste Armée'!$E34="BWG"),"BWG","special")))</f>
        <v>montes</v>
      </c>
      <c r="BK23" s="14">
        <f ca="1">VLOOKUP('Liste Armée'!$E34&amp;" "&amp;'Liste Armée'!$F34,Table_budget,MATCH('Liste Armée'!$G34,Colonnes_table_budget,FALSE),FALSE)+IF('Liste Armée'!$H34=VLOOKUP("Drilled",Zone_Traduction,ref_langue,FALSE),VLOOKUP('Liste Armée'!$E34&amp;" "&amp;'Liste Armée'!$F34,Table_budget,MATCH(VLOOKUP("Drilled",Zone_Traduction,ref_langue,FALSE),Colonnes_table_budget,FALSE),FALSE),0)+IF(ISERROR(VLOOKUP(BJ23&amp;" "&amp;$G23,Table_armes_tir,2,FALSE)),0,VLOOKUP(BJ23&amp;" "&amp;$G23,Table_armes_tir,2,FALSE))+IF(ISERROR(VLOOKUP(BJ23&amp;" "&amp;$I23,Table_armes_melee,2,FALSE)),0,VLOOKUP(BJ23&amp;" "&amp;$I23,Table_armes_melee,2,FALSE))+IF(ISERROR(VLOOKUP($J23,Table_special,2,FALSE)),0,VLOOKUP($J23,Table_special,2,FALSE))</f>
        <v>15</v>
      </c>
      <c r="BL23" s="14">
        <f>'Liste Armée'!$M34*'Liste Armée'!$L34</f>
        <v>72</v>
      </c>
      <c r="BM23" s="9"/>
      <c r="BN23" s="14">
        <f>IF(OR('Liste Armée'!$E34="CV",'Liste Armée'!$E34="LH",'Liste Armée'!$E34="LCH"),'Liste Armée'!$L34,0)</f>
        <v>0</v>
      </c>
    </row>
    <row r="24" spans="1:66" ht="12.75" customHeight="1">
      <c r="A24" s="70" t="s">
        <v>798</v>
      </c>
      <c r="B24" s="74" t="str">
        <f ca="1">CONCATENATE("LH"," ",VLOOKUP("Armoured",Zone_Traduction,ref_langue,FALSE))</f>
        <v>LH Armoured</v>
      </c>
      <c r="C24" s="28">
        <v>16</v>
      </c>
      <c r="D24" s="28">
        <v>13</v>
      </c>
      <c r="E24" s="28">
        <v>9</v>
      </c>
      <c r="F24" s="28">
        <v>6</v>
      </c>
      <c r="G24" s="28">
        <v>0</v>
      </c>
      <c r="H24" s="84">
        <v>0</v>
      </c>
      <c r="J24" s="74" t="str">
        <f ca="1">CONCATENATE("infanterie"," ",VLOOKUP("impact foot",Zone_Traduction,ref_langue,FALSE))</f>
        <v>infanterie Impact Foot</v>
      </c>
      <c r="K24" s="148">
        <v>1</v>
      </c>
      <c r="M24" s="146">
        <v>4</v>
      </c>
      <c r="N24" s="149" t="s">
        <v>803</v>
      </c>
      <c r="AF24" s="71">
        <v>22</v>
      </c>
      <c r="AG24" s="86">
        <f t="shared" si="3"/>
        <v>0.2272727272727273</v>
      </c>
      <c r="AH24" s="86">
        <f t="shared" si="3"/>
        <v>0.4545454545454546</v>
      </c>
      <c r="AI24" s="86">
        <f t="shared" si="3"/>
        <v>0.6818181818181818</v>
      </c>
      <c r="AJ24" s="86">
        <f t="shared" si="3"/>
        <v>0.9090909090909092</v>
      </c>
      <c r="AK24" s="86">
        <f t="shared" si="3"/>
        <v>1.1363636363636362</v>
      </c>
      <c r="AL24" s="86">
        <f t="shared" si="3"/>
        <v>1.3636363636363635</v>
      </c>
      <c r="AM24" s="86">
        <f t="shared" si="3"/>
        <v>1.5909090909090908</v>
      </c>
      <c r="AN24" s="86">
        <f t="shared" si="3"/>
        <v>1.8181818181818183</v>
      </c>
      <c r="AO24" s="86">
        <f t="shared" si="3"/>
        <v>2.0454545454545454</v>
      </c>
      <c r="AP24" s="86">
        <f t="shared" si="3"/>
        <v>2.2727272727272725</v>
      </c>
      <c r="AQ24" s="86">
        <f t="shared" si="3"/>
        <v>2.5</v>
      </c>
      <c r="AR24" s="86">
        <f t="shared" si="3"/>
        <v>2.727272727272727</v>
      </c>
      <c r="AS24" s="86">
        <f t="shared" si="3"/>
        <v>2.9545454545454546</v>
      </c>
      <c r="AT24" s="86">
        <f t="shared" si="3"/>
        <v>3.1818181818181817</v>
      </c>
      <c r="AU24" s="86">
        <f t="shared" si="3"/>
        <v>3.4090909090909087</v>
      </c>
      <c r="AV24" s="86">
        <f t="shared" si="3"/>
        <v>3.6363636363636367</v>
      </c>
      <c r="AW24" s="86">
        <f>(AW$2/$AF24)*5</f>
        <v>3.8636363636363633</v>
      </c>
      <c r="AX24" s="86">
        <f>(AX$2/$AF24)*5</f>
        <v>4.090909090909091</v>
      </c>
      <c r="AY24" s="86">
        <f>(AY$2/$AF24)*5</f>
        <v>4.318181818181818</v>
      </c>
      <c r="AZ24" s="86">
        <f>(AZ$2/$AF24)*5</f>
        <v>4.545454545454545</v>
      </c>
      <c r="BA24" s="86">
        <f>(BA$2/$AF24)*5</f>
        <v>4.772727272727273</v>
      </c>
      <c r="BB24">
        <v>10</v>
      </c>
      <c r="BI24" s="66">
        <f>IF('Liste Armée'!E35="SCh",1,0)</f>
        <v>0</v>
      </c>
      <c r="BJ24" s="66" t="str">
        <f>IF(OR('Liste Armée'!$E35="HF",'Liste Armée'!$E35="MF",'Liste Armée'!$E35="LF"),"infanterie",IF(OR('Liste Armée'!$E35="Kn",'Liste Armée'!$E35="Ct",'Liste Armée'!$E35="Cv",'Liste Armée'!$E35="LH",'Liste Armée'!$E35="LCh",'Liste Armée'!$E35="HCh",'Liste Armée'!$E35="SCh",'Liste Armée'!$E35="EL"),"montes",IF(OR('Liste Armée'!$E35="BWG"),"BWG","special")))</f>
        <v>montes</v>
      </c>
      <c r="BK24" s="14">
        <f ca="1">VLOOKUP('Liste Armée'!$E35&amp;" "&amp;'Liste Armée'!$F35,Table_budget,MATCH('Liste Armée'!$G35,Colonnes_table_budget,FALSE),FALSE)+IF('Liste Armée'!$H35=VLOOKUP("Drilled",Zone_Traduction,ref_langue,FALSE),VLOOKUP('Liste Armée'!$E35&amp;" "&amp;'Liste Armée'!$F35,Table_budget,MATCH(VLOOKUP("Drilled",Zone_Traduction,ref_langue,FALSE),Colonnes_table_budget,FALSE),FALSE),0)+IF(ISERROR(VLOOKUP(BJ24&amp;" "&amp;$G24,Table_armes_tir,2,FALSE)),0,VLOOKUP(BJ24&amp;" "&amp;$G24,Table_armes_tir,2,FALSE))+IF(ISERROR(VLOOKUP(BJ24&amp;" "&amp;$I24,Table_armes_melee,2,FALSE)),0,VLOOKUP(BJ24&amp;" "&amp;$I24,Table_armes_melee,2,FALSE))+IF(ISERROR(VLOOKUP($J24,Table_special,2,FALSE)),0,VLOOKUP($J24,Table_special,2,FALSE))</f>
        <v>5</v>
      </c>
      <c r="BL24" s="14">
        <f>'Liste Armée'!$M35*'Liste Armée'!$L35</f>
        <v>32</v>
      </c>
      <c r="BM24" s="9"/>
      <c r="BN24" s="14">
        <f>IF(OR('Liste Armée'!$E35="CV",'Liste Armée'!$E35="LH",'Liste Armée'!$E35="LCH"),'Liste Armée'!$L35,0)</f>
        <v>4</v>
      </c>
    </row>
    <row r="25" spans="1:66" ht="12.75" customHeight="1">
      <c r="A25" s="70" t="s">
        <v>798</v>
      </c>
      <c r="B25" s="74" t="str">
        <f ca="1">CONCATENATE("LH"," ",VLOOKUP("Protected",Zone_Traduction,ref_langue,FALSE))</f>
        <v>LH Protected</v>
      </c>
      <c r="C25" s="28">
        <v>11</v>
      </c>
      <c r="D25" s="28">
        <v>9</v>
      </c>
      <c r="E25" s="28">
        <v>6</v>
      </c>
      <c r="F25" s="28">
        <v>4</v>
      </c>
      <c r="G25" s="28">
        <v>0</v>
      </c>
      <c r="H25" s="84">
        <v>0</v>
      </c>
      <c r="J25" s="74" t="str">
        <f ca="1">CONCATENATE("infanterie"," ",VLOOKUP("Offensive spearmen",Zone_Traduction,ref_langue,FALSE))</f>
        <v>infanterie Offensive Spearmen</v>
      </c>
      <c r="K25" s="148">
        <v>2</v>
      </c>
      <c r="M25" s="146">
        <v>5</v>
      </c>
      <c r="N25" s="149" t="s">
        <v>804</v>
      </c>
      <c r="AF25" s="71">
        <v>23</v>
      </c>
      <c r="AG25" s="86">
        <f t="shared" si="3"/>
        <v>0.21739130434782608</v>
      </c>
      <c r="AH25" s="86">
        <f t="shared" si="3"/>
        <v>0.43478260869565216</v>
      </c>
      <c r="AI25" s="86">
        <f t="shared" si="3"/>
        <v>0.6521739130434783</v>
      </c>
      <c r="AJ25" s="86">
        <f t="shared" si="3"/>
        <v>0.8695652173913043</v>
      </c>
      <c r="AK25" s="86">
        <f t="shared" si="3"/>
        <v>1.0869565217391304</v>
      </c>
      <c r="AL25" s="86">
        <f t="shared" si="3"/>
        <v>1.3043478260869565</v>
      </c>
      <c r="AM25" s="86">
        <f t="shared" si="3"/>
        <v>1.5217391304347827</v>
      </c>
      <c r="AN25" s="86">
        <f t="shared" si="3"/>
        <v>1.7391304347826086</v>
      </c>
      <c r="AO25" s="86">
        <f t="shared" si="3"/>
        <v>1.9565217391304348</v>
      </c>
      <c r="AP25" s="86">
        <f t="shared" si="3"/>
        <v>2.1739130434782608</v>
      </c>
      <c r="AQ25" s="86">
        <f t="shared" si="3"/>
        <v>2.391304347826087</v>
      </c>
      <c r="AR25" s="86">
        <f t="shared" si="3"/>
        <v>2.608695652173913</v>
      </c>
      <c r="AS25" s="86">
        <f t="shared" si="3"/>
        <v>2.826086956521739</v>
      </c>
      <c r="AT25" s="86">
        <f t="shared" si="3"/>
        <v>3.0434782608695654</v>
      </c>
      <c r="AU25" s="86">
        <f t="shared" si="3"/>
        <v>3.2608695652173916</v>
      </c>
      <c r="AV25" s="86">
        <f t="shared" si="3"/>
        <v>3.4782608695652173</v>
      </c>
      <c r="AW25" s="86">
        <f aca="true" t="shared" si="4" ref="AW25:BB25">(AW$2/$AF25)*5</f>
        <v>3.695652173913043</v>
      </c>
      <c r="AX25" s="86">
        <f t="shared" si="4"/>
        <v>3.9130434782608696</v>
      </c>
      <c r="AY25" s="86">
        <f t="shared" si="4"/>
        <v>4.130434782608695</v>
      </c>
      <c r="AZ25" s="86">
        <f t="shared" si="4"/>
        <v>4.3478260869565215</v>
      </c>
      <c r="BA25" s="86">
        <f t="shared" si="4"/>
        <v>4.565217391304348</v>
      </c>
      <c r="BB25" s="86">
        <f t="shared" si="4"/>
        <v>4.782608695652174</v>
      </c>
      <c r="BC25">
        <v>10</v>
      </c>
      <c r="BI25" s="66">
        <f>IF('Liste Armée'!E36="SCh",1,0)</f>
        <v>0</v>
      </c>
      <c r="BJ25" s="66" t="str">
        <f>IF(OR('Liste Armée'!$E36="HF",'Liste Armée'!$E36="MF",'Liste Armée'!$E36="LF"),"infanterie",IF(OR('Liste Armée'!$E36="Kn",'Liste Armée'!$E36="Ct",'Liste Armée'!$E36="Cv",'Liste Armée'!$E36="LH",'Liste Armée'!$E36="LCh",'Liste Armée'!$E36="HCh",'Liste Armée'!$E36="SCh",'Liste Armée'!$E36="EL"),"montes",IF(OR('Liste Armée'!$E36="BWG"),"BWG","special")))</f>
        <v>montes</v>
      </c>
      <c r="BK25" s="14">
        <f ca="1">VLOOKUP('Liste Armée'!$E36&amp;" "&amp;'Liste Armée'!$F36,Table_budget,MATCH('Liste Armée'!$G36,Colonnes_table_budget,FALSE),FALSE)+IF('Liste Armée'!$H36=VLOOKUP("Drilled",Zone_Traduction,ref_langue,FALSE),VLOOKUP('Liste Armée'!$E36&amp;" "&amp;'Liste Armée'!$F36,Table_budget,MATCH(VLOOKUP("Drilled",Zone_Traduction,ref_langue,FALSE),Colonnes_table_budget,FALSE),FALSE),0)+IF(ISERROR(VLOOKUP(BJ25&amp;" "&amp;$G25,Table_armes_tir,2,FALSE)),0,VLOOKUP(BJ25&amp;" "&amp;$G25,Table_armes_tir,2,FALSE))+IF(ISERROR(VLOOKUP(BJ25&amp;" "&amp;$I25,Table_armes_melee,2,FALSE)),0,VLOOKUP(BJ25&amp;" "&amp;$I25,Table_armes_melee,2,FALSE))+IF(ISERROR(VLOOKUP($J25,Table_special,2,FALSE)),0,VLOOKUP($J25,Table_special,2,FALSE))</f>
        <v>15</v>
      </c>
      <c r="BL25" s="14">
        <f>'Liste Armée'!$M36*'Liste Armée'!$L36</f>
        <v>108</v>
      </c>
      <c r="BM25" s="9"/>
      <c r="BN25" s="14">
        <f>IF(OR('Liste Armée'!$E36="CV",'Liste Armée'!$E36="LH",'Liste Armée'!$E36="LCH"),'Liste Armée'!$L36,0)</f>
        <v>0</v>
      </c>
    </row>
    <row r="26" spans="1:66" ht="12.75" customHeight="1">
      <c r="A26" s="70" t="s">
        <v>798</v>
      </c>
      <c r="B26" s="74" t="str">
        <f ca="1">CONCATENATE("LH"," ",VLOOKUP("Unprotected",Zone_Traduction,ref_langue,FALSE))</f>
        <v>LH Unprotected</v>
      </c>
      <c r="C26" s="28">
        <v>9</v>
      </c>
      <c r="D26" s="28">
        <v>7</v>
      </c>
      <c r="E26" s="28">
        <v>5</v>
      </c>
      <c r="F26" s="28">
        <v>3</v>
      </c>
      <c r="G26" s="28">
        <v>0</v>
      </c>
      <c r="H26" s="84">
        <v>0</v>
      </c>
      <c r="J26" s="74" t="str">
        <f ca="1">CONCATENATE("infanterie"," ",VLOOKUP("defensive spearmen",Zone_Traduction,ref_langue,FALSE))</f>
        <v>infanterie Defensive Spearmen</v>
      </c>
      <c r="K26" s="148">
        <v>1</v>
      </c>
      <c r="M26" s="146">
        <v>6</v>
      </c>
      <c r="N26" s="149" t="s">
        <v>805</v>
      </c>
      <c r="BI26" s="66">
        <f>IF('Liste Armée'!E37="SCh",1,0)</f>
        <v>0</v>
      </c>
      <c r="BJ26" s="66" t="str">
        <f>IF(OR('Liste Armée'!$E37="HF",'Liste Armée'!$E37="MF",'Liste Armée'!$E37="LF"),"infanterie",IF(OR('Liste Armée'!$E37="Kn",'Liste Armée'!$E37="Ct",'Liste Armée'!$E37="Cv",'Liste Armée'!$E37="LH",'Liste Armée'!$E37="LCh",'Liste Armée'!$E37="HCh",'Liste Armée'!$E37="SCh",'Liste Armée'!$E37="EL"),"montes",IF(OR('Liste Armée'!$E37="BWG"),"BWG","special")))</f>
        <v>special</v>
      </c>
      <c r="BK26" s="14">
        <f ca="1">VLOOKUP('Liste Armée'!$E37&amp;" "&amp;'Liste Armée'!$F37,Table_budget,MATCH('Liste Armée'!$G37,Colonnes_table_budget,FALSE),FALSE)+IF('Liste Armée'!$H37=VLOOKUP("Drilled",Zone_Traduction,ref_langue,FALSE),VLOOKUP('Liste Armée'!$E37&amp;" "&amp;'Liste Armée'!$F37,Table_budget,MATCH(VLOOKUP("Drilled",Zone_Traduction,ref_langue,FALSE),Colonnes_table_budget,FALSE),FALSE),0)+IF(ISERROR(VLOOKUP(BJ26&amp;" "&amp;$G26,Table_armes_tir,2,FALSE)),0,VLOOKUP(BJ26&amp;" "&amp;$G26,Table_armes_tir,2,FALSE))+IF(ISERROR(VLOOKUP(BJ26&amp;" "&amp;$I26,Table_armes_melee,2,FALSE)),0,VLOOKUP(BJ26&amp;" "&amp;$I26,Table_armes_melee,2,FALSE))+IF(ISERROR(VLOOKUP($J26,Table_special,2,FALSE)),0,VLOOKUP($J26,Table_special,2,FALSE))</f>
        <v>0</v>
      </c>
      <c r="BL26" s="14">
        <f>'Liste Armée'!$M37*'Liste Armée'!$L37</f>
        <v>0</v>
      </c>
      <c r="BM26" s="9"/>
      <c r="BN26" s="14">
        <f>IF(OR('Liste Armée'!$E37="CV",'Liste Armée'!$E37="LH",'Liste Armée'!$E37="LCH"),'Liste Armée'!$L37,0)</f>
        <v>0</v>
      </c>
    </row>
    <row r="27" spans="1:66" ht="12.75" customHeight="1">
      <c r="A27" s="70" t="s">
        <v>806</v>
      </c>
      <c r="B27" s="74" t="s">
        <v>807</v>
      </c>
      <c r="C27" s="28">
        <v>20</v>
      </c>
      <c r="D27" s="28">
        <v>17</v>
      </c>
      <c r="E27" s="28">
        <v>13</v>
      </c>
      <c r="F27" s="28"/>
      <c r="G27" s="28">
        <v>2</v>
      </c>
      <c r="H27" s="84">
        <v>0</v>
      </c>
      <c r="J27" s="74" t="str">
        <f ca="1">CONCATENATE("infanterie"," ",VLOOKUP("Heavy weapon",Zone_Traduction,ref_langue,FALSE))</f>
        <v>infanterie Heavy Weapon</v>
      </c>
      <c r="K27" s="148">
        <v>2</v>
      </c>
      <c r="M27" s="146">
        <v>7</v>
      </c>
      <c r="N27" s="149" t="s">
        <v>808</v>
      </c>
      <c r="BI27" s="66">
        <f>IF('Liste Armée'!E38="SCh",1,0)</f>
        <v>0</v>
      </c>
      <c r="BJ27" s="66" t="str">
        <f>IF(OR('Liste Armée'!$E38="HF",'Liste Armée'!$E38="MF",'Liste Armée'!$E38="LF"),"infanterie",IF(OR('Liste Armée'!$E38="Kn",'Liste Armée'!$E38="Ct",'Liste Armée'!$E38="Cv",'Liste Armée'!$E38="LH",'Liste Armée'!$E38="LCh",'Liste Armée'!$E38="HCh",'Liste Armée'!$E38="SCh",'Liste Armée'!$E38="EL"),"montes",IF(OR('Liste Armée'!$E38="BWG"),"BWG","special")))</f>
        <v>special</v>
      </c>
      <c r="BK27" s="14">
        <f ca="1">VLOOKUP('Liste Armée'!$E38&amp;" "&amp;'Liste Armée'!$F38,Table_budget,MATCH('Liste Armée'!$G38,Colonnes_table_budget,FALSE),FALSE)+IF('Liste Armée'!$H38=VLOOKUP("Drilled",Zone_Traduction,ref_langue,FALSE),VLOOKUP('Liste Armée'!$E38&amp;" "&amp;'Liste Armée'!$F38,Table_budget,MATCH(VLOOKUP("Drilled",Zone_Traduction,ref_langue,FALSE),Colonnes_table_budget,FALSE),FALSE),0)+IF(ISERROR(VLOOKUP(BJ27&amp;" "&amp;$G27,Table_armes_tir,2,FALSE)),0,VLOOKUP(BJ27&amp;" "&amp;$G27,Table_armes_tir,2,FALSE))+IF(ISERROR(VLOOKUP(BJ27&amp;" "&amp;$I27,Table_armes_melee,2,FALSE)),0,VLOOKUP(BJ27&amp;" "&amp;$I27,Table_armes_melee,2,FALSE))+IF(ISERROR(VLOOKUP($J27,Table_special,2,FALSE)),0,VLOOKUP($J27,Table_special,2,FALSE))</f>
        <v>0</v>
      </c>
      <c r="BL27" s="14">
        <f>'Liste Armée'!$M38*'Liste Armée'!$L38</f>
        <v>0</v>
      </c>
      <c r="BM27" s="9"/>
      <c r="BN27" s="14">
        <f>IF(OR('Liste Armée'!$E38="CV",'Liste Armée'!$E38="LH",'Liste Armée'!$E38="LCH"),'Liste Armée'!$L38,0)</f>
        <v>0</v>
      </c>
    </row>
    <row r="28" spans="1:66" ht="12.75" customHeight="1">
      <c r="A28" s="70" t="s">
        <v>806</v>
      </c>
      <c r="B28" s="74" t="s">
        <v>809</v>
      </c>
      <c r="C28" s="28">
        <v>17</v>
      </c>
      <c r="D28" s="28">
        <v>14</v>
      </c>
      <c r="E28" s="28">
        <v>10</v>
      </c>
      <c r="F28" s="28"/>
      <c r="G28" s="28">
        <v>1</v>
      </c>
      <c r="H28" s="84">
        <v>0</v>
      </c>
      <c r="J28" s="74" t="str">
        <f ca="1">CONCATENATE("BWG"," ",VLOOKUP("impact foot",Zone_Traduction,ref_langue,FALSE))</f>
        <v>BWG Impact Foot</v>
      </c>
      <c r="K28" s="148">
        <v>3</v>
      </c>
      <c r="M28" s="146">
        <v>8</v>
      </c>
      <c r="N28" s="149" t="s">
        <v>810</v>
      </c>
      <c r="AF28" s="150" t="s">
        <v>507</v>
      </c>
      <c r="AI28" s="86">
        <f aca="true" t="shared" si="5" ref="AI28:BA28">ROUNDUP(AI4,0)</f>
        <v>0</v>
      </c>
      <c r="AJ28" s="86">
        <f t="shared" si="5"/>
        <v>0</v>
      </c>
      <c r="AK28" s="86">
        <f t="shared" si="5"/>
        <v>0</v>
      </c>
      <c r="AL28" s="86">
        <f t="shared" si="5"/>
        <v>0</v>
      </c>
      <c r="AM28" s="86">
        <f t="shared" si="5"/>
        <v>0</v>
      </c>
      <c r="AN28" s="86">
        <f t="shared" si="5"/>
        <v>0</v>
      </c>
      <c r="AO28" s="86">
        <f t="shared" si="5"/>
        <v>0</v>
      </c>
      <c r="AP28" s="86">
        <f t="shared" si="5"/>
        <v>0</v>
      </c>
      <c r="AQ28" s="86">
        <f t="shared" si="5"/>
        <v>0</v>
      </c>
      <c r="AR28" s="86">
        <f t="shared" si="5"/>
        <v>0</v>
      </c>
      <c r="AS28" s="86">
        <f t="shared" si="5"/>
        <v>0</v>
      </c>
      <c r="AT28" s="86">
        <f t="shared" si="5"/>
        <v>0</v>
      </c>
      <c r="AU28" s="86">
        <f t="shared" si="5"/>
        <v>0</v>
      </c>
      <c r="AV28" s="86">
        <f t="shared" si="5"/>
        <v>0</v>
      </c>
      <c r="AW28" s="86">
        <f t="shared" si="5"/>
        <v>0</v>
      </c>
      <c r="AX28" s="86">
        <f t="shared" si="5"/>
        <v>0</v>
      </c>
      <c r="AY28" s="86">
        <f t="shared" si="5"/>
        <v>0</v>
      </c>
      <c r="AZ28" s="86">
        <f t="shared" si="5"/>
        <v>0</v>
      </c>
      <c r="BA28" s="86">
        <f t="shared" si="5"/>
        <v>0</v>
      </c>
      <c r="BI28" s="66">
        <f>IF('Liste Armée'!E39="SCh",1,0)</f>
        <v>0</v>
      </c>
      <c r="BJ28" s="66" t="str">
        <f>IF(OR('Liste Armée'!$E39="HF",'Liste Armée'!$E39="MF",'Liste Armée'!$E39="LF"),"infanterie",IF(OR('Liste Armée'!$E39="Kn",'Liste Armée'!$E39="Ct",'Liste Armée'!$E39="Cv",'Liste Armée'!$E39="LH",'Liste Armée'!$E39="LCh",'Liste Armée'!$E39="HCh",'Liste Armée'!$E39="SCh",'Liste Armée'!$E39="EL"),"montes",IF(OR('Liste Armée'!$E39="BWG"),"BWG","special")))</f>
        <v>special</v>
      </c>
      <c r="BK28" s="14">
        <f ca="1">VLOOKUP('Liste Armée'!$E39&amp;" "&amp;'Liste Armée'!$F39,Table_budget,MATCH('Liste Armée'!$G39,Colonnes_table_budget,FALSE),FALSE)+IF('Liste Armée'!$H39=VLOOKUP("Drilled",Zone_Traduction,ref_langue,FALSE),VLOOKUP('Liste Armée'!$E39&amp;" "&amp;'Liste Armée'!$F39,Table_budget,MATCH(VLOOKUP("Drilled",Zone_Traduction,ref_langue,FALSE),Colonnes_table_budget,FALSE),FALSE),0)+IF(ISERROR(VLOOKUP(BJ28&amp;" "&amp;$G28,Table_armes_tir,2,FALSE)),0,VLOOKUP(BJ28&amp;" "&amp;$G28,Table_armes_tir,2,FALSE))+IF(ISERROR(VLOOKUP(BJ28&amp;" "&amp;$I28,Table_armes_melee,2,FALSE)),0,VLOOKUP(BJ28&amp;" "&amp;$I28,Table_armes_melee,2,FALSE))+IF(ISERROR(VLOOKUP($J28,Table_special,2,FALSE)),0,VLOOKUP($J28,Table_special,2,FALSE))</f>
        <v>0</v>
      </c>
      <c r="BL28" s="14">
        <f>'Liste Armée'!$M39*'Liste Armée'!$L39</f>
        <v>0</v>
      </c>
      <c r="BM28" s="9"/>
      <c r="BN28" s="14">
        <f>IF(OR('Liste Armée'!$E39="CV",'Liste Armée'!$E39="LH",'Liste Armée'!$E39="LCH"),'Liste Armée'!$L39,0)</f>
        <v>0</v>
      </c>
    </row>
    <row r="29" spans="1:66" ht="12.75" customHeight="1">
      <c r="A29" s="70" t="s">
        <v>806</v>
      </c>
      <c r="B29" s="74" t="s">
        <v>811</v>
      </c>
      <c r="C29" s="28"/>
      <c r="D29" s="28"/>
      <c r="E29" s="28">
        <v>15</v>
      </c>
      <c r="F29" s="28"/>
      <c r="G29" s="28"/>
      <c r="H29" s="84">
        <v>15</v>
      </c>
      <c r="J29" s="74" t="str">
        <f ca="1">CONCATENATE("BWG"," ",VLOOKUP("Offensive spearmen",Zone_Traduction,ref_langue,FALSE))</f>
        <v>BWG Offensive Spearmen</v>
      </c>
      <c r="K29" s="148">
        <v>6</v>
      </c>
      <c r="M29" s="146">
        <v>9</v>
      </c>
      <c r="N29" s="149" t="s">
        <v>812</v>
      </c>
      <c r="AF29" s="71">
        <v>0</v>
      </c>
      <c r="BI29" s="66">
        <f>IF('Liste Armée'!E40="SCh",1,0)</f>
        <v>0</v>
      </c>
      <c r="BJ29" s="66" t="str">
        <f>IF(OR('Liste Armée'!$E40="HF",'Liste Armée'!$E40="MF",'Liste Armée'!$E40="LF"),"infanterie",IF(OR('Liste Armée'!$E40="Kn",'Liste Armée'!$E40="Ct",'Liste Armée'!$E40="Cv",'Liste Armée'!$E40="LH",'Liste Armée'!$E40="LCh",'Liste Armée'!$E40="HCh",'Liste Armée'!$E40="SCh",'Liste Armée'!$E40="EL"),"montes",IF(OR('Liste Armée'!$E40="BWG"),"BWG","special")))</f>
        <v>special</v>
      </c>
      <c r="BK29" s="14">
        <f ca="1">VLOOKUP('Liste Armée'!$E40&amp;" "&amp;'Liste Armée'!$F40,Table_budget,MATCH('Liste Armée'!$G40,Colonnes_table_budget,FALSE),FALSE)+IF('Liste Armée'!$H40=VLOOKUP("Drilled",Zone_Traduction,ref_langue,FALSE),VLOOKUP('Liste Armée'!$E40&amp;" "&amp;'Liste Armée'!$F40,Table_budget,MATCH(VLOOKUP("Drilled",Zone_Traduction,ref_langue,FALSE),Colonnes_table_budget,FALSE),FALSE),0)+IF(ISERROR(VLOOKUP(BJ29&amp;" "&amp;$G29,Table_armes_tir,2,FALSE)),0,VLOOKUP(BJ29&amp;" "&amp;$G29,Table_armes_tir,2,FALSE))+IF(ISERROR(VLOOKUP(BJ29&amp;" "&amp;$I29,Table_armes_melee,2,FALSE)),0,VLOOKUP(BJ29&amp;" "&amp;$I29,Table_armes_melee,2,FALSE))+IF(ISERROR(VLOOKUP($J29,Table_special,2,FALSE)),0,VLOOKUP($J29,Table_special,2,FALSE))</f>
        <v>0</v>
      </c>
      <c r="BL29" s="14">
        <f>'Liste Armée'!$M40*'Liste Armée'!$L40</f>
        <v>0</v>
      </c>
      <c r="BM29" s="9"/>
      <c r="BN29" s="14">
        <f>IF(OR('Liste Armée'!$E40="CV",'Liste Armée'!$E40="LH",'Liste Armée'!$E40="LCH"),'Liste Armée'!$L40,0)</f>
        <v>0</v>
      </c>
    </row>
    <row r="30" spans="1:66" ht="12.75" customHeight="1">
      <c r="A30" s="70" t="s">
        <v>813</v>
      </c>
      <c r="B30" s="74" t="s">
        <v>814</v>
      </c>
      <c r="C30" s="28"/>
      <c r="D30" s="28"/>
      <c r="E30" s="28">
        <v>25</v>
      </c>
      <c r="F30" s="28"/>
      <c r="G30" s="28"/>
      <c r="H30" s="84">
        <v>25</v>
      </c>
      <c r="J30" s="74" t="str">
        <f ca="1">CONCATENATE("BWG"," ",VLOOKUP("defensive spearmen",Zone_Traduction,ref_langue,FALSE))</f>
        <v>BWG Defensive Spearmen</v>
      </c>
      <c r="K30" s="148">
        <v>3</v>
      </c>
      <c r="M30" s="146">
        <v>10</v>
      </c>
      <c r="N30" s="149" t="s">
        <v>815</v>
      </c>
      <c r="BI30" s="66">
        <f>IF('Liste Armée'!E41="SCh",1,0)</f>
        <v>0</v>
      </c>
      <c r="BJ30" s="66" t="str">
        <f>IF(OR('Liste Armée'!$E41="HF",'Liste Armée'!$E41="MF",'Liste Armée'!$E41="LF"),"infanterie",IF(OR('Liste Armée'!$E41="Kn",'Liste Armée'!$E41="Ct",'Liste Armée'!$E41="Cv",'Liste Armée'!$E41="LH",'Liste Armée'!$E41="LCh",'Liste Armée'!$E41="HCh",'Liste Armée'!$E41="SCh",'Liste Armée'!$E41="EL"),"montes",IF(OR('Liste Armée'!$E41="BWG"),"BWG","special")))</f>
        <v>special</v>
      </c>
      <c r="BK30" s="14">
        <f ca="1">VLOOKUP('Liste Armée'!$E41&amp;" "&amp;'Liste Armée'!$F41,Table_budget,MATCH('Liste Armée'!$G41,Colonnes_table_budget,FALSE),FALSE)+IF('Liste Armée'!$H41=VLOOKUP("Drilled",Zone_Traduction,ref_langue,FALSE),VLOOKUP('Liste Armée'!$E41&amp;" "&amp;'Liste Armée'!$F41,Table_budget,MATCH(VLOOKUP("Drilled",Zone_Traduction,ref_langue,FALSE),Colonnes_table_budget,FALSE),FALSE),0)+IF(ISERROR(VLOOKUP(BJ30&amp;" "&amp;$G30,Table_armes_tir,2,FALSE)),0,VLOOKUP(BJ30&amp;" "&amp;$G30,Table_armes_tir,2,FALSE))+IF(ISERROR(VLOOKUP(BJ30&amp;" "&amp;$I30,Table_armes_melee,2,FALSE)),0,VLOOKUP(BJ30&amp;" "&amp;$I30,Table_armes_melee,2,FALSE))+IF(ISERROR(VLOOKUP($J30,Table_special,2,FALSE)),0,VLOOKUP($J30,Table_special,2,FALSE))</f>
        <v>0</v>
      </c>
      <c r="BL30" s="14">
        <f>'Liste Armée'!$M41*'Liste Armée'!$L41</f>
        <v>0</v>
      </c>
      <c r="BM30" s="9"/>
      <c r="BN30" s="14">
        <f>IF(OR('Liste Armée'!$E41="CV",'Liste Armée'!$E41="LH",'Liste Armée'!$E41="LCH"),'Liste Armée'!$L41,0)</f>
        <v>0</v>
      </c>
    </row>
    <row r="31" spans="1:66" ht="12.75" customHeight="1">
      <c r="A31" s="70" t="s">
        <v>816</v>
      </c>
      <c r="B31" s="151" t="s">
        <v>817</v>
      </c>
      <c r="C31" s="28"/>
      <c r="D31" s="28"/>
      <c r="E31" s="28">
        <v>20</v>
      </c>
      <c r="F31" s="28"/>
      <c r="G31" s="28">
        <v>0</v>
      </c>
      <c r="H31" s="84">
        <v>20</v>
      </c>
      <c r="J31" s="137" t="str">
        <f ca="1">CONCATENATE("BWG"," ",VLOOKUP("Heavy weapon",Zone_Traduction,ref_langue,FALSE))</f>
        <v>BWG Heavy Weapon</v>
      </c>
      <c r="K31" s="152">
        <v>6</v>
      </c>
      <c r="M31" s="146">
        <v>11</v>
      </c>
      <c r="N31" s="149" t="s">
        <v>818</v>
      </c>
      <c r="BI31" s="66">
        <f>IF('Liste Armée'!E42="SCh",1,0)</f>
        <v>0</v>
      </c>
      <c r="BJ31" s="66" t="str">
        <f>IF(OR('Liste Armée'!$E42="HF",'Liste Armée'!$E42="MF",'Liste Armée'!$E42="LF"),"infanterie",IF(OR('Liste Armée'!$E42="Kn",'Liste Armée'!$E42="Ct",'Liste Armée'!$E42="Cv",'Liste Armée'!$E42="LH",'Liste Armée'!$E42="LCh",'Liste Armée'!$E42="HCh",'Liste Armée'!$E42="SCh",'Liste Armée'!$E42="EL"),"montes",IF(OR('Liste Armée'!$E42="BWG"),"BWG","special")))</f>
        <v>special</v>
      </c>
      <c r="BK31" s="14">
        <f ca="1">VLOOKUP('Liste Armée'!$E42&amp;" "&amp;'Liste Armée'!$F42,Table_budget,MATCH('Liste Armée'!$G42,Colonnes_table_budget,FALSE),FALSE)+IF('Liste Armée'!$H42=VLOOKUP("Drilled",Zone_Traduction,ref_langue,FALSE),VLOOKUP('Liste Armée'!$E42&amp;" "&amp;'Liste Armée'!$F42,Table_budget,MATCH(VLOOKUP("Drilled",Zone_Traduction,ref_langue,FALSE),Colonnes_table_budget,FALSE),FALSE),0)+IF(ISERROR(VLOOKUP(BJ31&amp;" "&amp;$G31,Table_armes_tir,2,FALSE)),0,VLOOKUP(BJ31&amp;" "&amp;$G31,Table_armes_tir,2,FALSE))+IF(ISERROR(VLOOKUP(BJ31&amp;" "&amp;$I31,Table_armes_melee,2,FALSE)),0,VLOOKUP(BJ31&amp;" "&amp;$I31,Table_armes_melee,2,FALSE))+IF(ISERROR(VLOOKUP($J31,Table_special,2,FALSE)),0,VLOOKUP($J31,Table_special,2,FALSE))</f>
        <v>0</v>
      </c>
      <c r="BL31" s="14">
        <f>'Liste Armée'!$M42*'Liste Armée'!$L42</f>
        <v>0</v>
      </c>
      <c r="BM31" s="9"/>
      <c r="BN31" s="14">
        <f>IF(OR('Liste Armée'!$E42="CV",'Liste Armée'!$E42="LH",'Liste Armée'!$E42="LCH"),'Liste Armée'!$L42,0)</f>
        <v>0</v>
      </c>
    </row>
    <row r="32" spans="1:66" ht="12.75" customHeight="1">
      <c r="A32" s="70" t="s">
        <v>819</v>
      </c>
      <c r="B32" s="151" t="s">
        <v>820</v>
      </c>
      <c r="C32" s="28"/>
      <c r="D32" s="28"/>
      <c r="E32" s="28">
        <v>15</v>
      </c>
      <c r="F32" s="28"/>
      <c r="G32" s="28">
        <v>2</v>
      </c>
      <c r="H32" s="84">
        <v>15</v>
      </c>
      <c r="M32" s="146">
        <v>12</v>
      </c>
      <c r="N32" s="149" t="s">
        <v>821</v>
      </c>
      <c r="AF32" s="71">
        <v>6</v>
      </c>
      <c r="AG32">
        <v>2</v>
      </c>
      <c r="AH32">
        <v>3</v>
      </c>
      <c r="AI32">
        <v>5</v>
      </c>
      <c r="AJ32">
        <v>6</v>
      </c>
      <c r="AK32">
        <v>8</v>
      </c>
      <c r="AL32" s="86">
        <f aca="true" t="shared" si="6" ref="AL32:AN34">ROUNDUP(AL8,0)</f>
        <v>10</v>
      </c>
      <c r="AM32" s="86">
        <f t="shared" si="6"/>
        <v>0</v>
      </c>
      <c r="AN32" s="86">
        <f t="shared" si="6"/>
        <v>0</v>
      </c>
      <c r="AO32" s="86">
        <f>ROUNDUP(AO8,0)</f>
        <v>0</v>
      </c>
      <c r="AP32" s="86">
        <f>ROUNDUP(AP8,0)</f>
        <v>0</v>
      </c>
      <c r="BI32" s="66">
        <f>IF('Liste Armée'!E43="SCh",1,0)</f>
        <v>0</v>
      </c>
      <c r="BJ32" s="66" t="str">
        <f>IF(OR('Liste Armée'!$E43="HF",'Liste Armée'!$E43="MF",'Liste Armée'!$E43="LF"),"infanterie",IF(OR('Liste Armée'!$E43="Kn",'Liste Armée'!$E43="Ct",'Liste Armée'!$E43="Cv",'Liste Armée'!$E43="LH",'Liste Armée'!$E43="LCh",'Liste Armée'!$E43="HCh",'Liste Armée'!$E43="SCh",'Liste Armée'!$E43="EL"),"montes",IF(OR('Liste Armée'!$E43="BWG"),"BWG","special")))</f>
        <v>special</v>
      </c>
      <c r="BK32" s="14">
        <f ca="1">VLOOKUP('Liste Armée'!$E43&amp;" "&amp;'Liste Armée'!$F43,Table_budget,MATCH('Liste Armée'!$G43,Colonnes_table_budget,FALSE),FALSE)+IF('Liste Armée'!$H43=VLOOKUP("Drilled",Zone_Traduction,ref_langue,FALSE),VLOOKUP('Liste Armée'!$E43&amp;" "&amp;'Liste Armée'!$F43,Table_budget,MATCH(VLOOKUP("Drilled",Zone_Traduction,ref_langue,FALSE),Colonnes_table_budget,FALSE),FALSE),0)+IF(ISERROR(VLOOKUP(BJ32&amp;" "&amp;$G32,Table_armes_tir,2,FALSE)),0,VLOOKUP(BJ32&amp;" "&amp;$G32,Table_armes_tir,2,FALSE))+IF(ISERROR(VLOOKUP(BJ32&amp;" "&amp;$I32,Table_armes_melee,2,FALSE)),0,VLOOKUP(BJ32&amp;" "&amp;$I32,Table_armes_melee,2,FALSE))+IF(ISERROR(VLOOKUP($J32,Table_special,2,FALSE)),0,VLOOKUP($J32,Table_special,2,FALSE))</f>
        <v>0</v>
      </c>
      <c r="BL32" s="14">
        <f>'Liste Armée'!$M43*'Liste Armée'!$L43</f>
        <v>0</v>
      </c>
      <c r="BM32" s="9"/>
      <c r="BN32" s="14">
        <f>IF(OR('Liste Armée'!$E43="CV",'Liste Armée'!$E43="LH",'Liste Armée'!$E43="LCH"),'Liste Armée'!$L43,0)</f>
        <v>0</v>
      </c>
    </row>
    <row r="33" spans="1:66" ht="12.75" customHeight="1">
      <c r="A33" s="70" t="s">
        <v>822</v>
      </c>
      <c r="B33" s="151" t="s">
        <v>823</v>
      </c>
      <c r="C33" s="28"/>
      <c r="D33" s="28"/>
      <c r="E33" s="28">
        <v>14</v>
      </c>
      <c r="F33" s="28">
        <v>8</v>
      </c>
      <c r="G33" s="28"/>
      <c r="H33" s="84">
        <v>0</v>
      </c>
      <c r="M33" s="146">
        <v>13</v>
      </c>
      <c r="N33" s="149" t="s">
        <v>824</v>
      </c>
      <c r="AF33" s="71">
        <v>7</v>
      </c>
      <c r="AG33">
        <v>2</v>
      </c>
      <c r="AH33">
        <v>3</v>
      </c>
      <c r="AI33">
        <v>4</v>
      </c>
      <c r="AJ33">
        <v>6</v>
      </c>
      <c r="AK33">
        <v>7</v>
      </c>
      <c r="AL33">
        <v>8</v>
      </c>
      <c r="AM33" s="86">
        <f t="shared" si="6"/>
        <v>10</v>
      </c>
      <c r="AN33" s="86">
        <f t="shared" si="6"/>
        <v>0</v>
      </c>
      <c r="BI33" s="66">
        <f>IF('Liste Armée'!E44="SCh",1,0)</f>
        <v>0</v>
      </c>
      <c r="BJ33" s="66" t="str">
        <f>IF(OR('Liste Armée'!$E44="HF",'Liste Armée'!$E44="MF",'Liste Armée'!$E44="LF"),"infanterie",IF(OR('Liste Armée'!$E44="Kn",'Liste Armée'!$E44="Ct",'Liste Armée'!$E44="Cv",'Liste Armée'!$E44="LH",'Liste Armée'!$E44="LCh",'Liste Armée'!$E44="HCh",'Liste Armée'!$E44="SCh",'Liste Armée'!$E44="EL"),"montes",IF(OR('Liste Armée'!$E44="BWG"),"BWG","special")))</f>
        <v>special</v>
      </c>
      <c r="BK33" s="14">
        <f ca="1">VLOOKUP('Liste Armée'!$E44&amp;" "&amp;'Liste Armée'!$F44,Table_budget,MATCH('Liste Armée'!$G44,Colonnes_table_budget,FALSE),FALSE)+IF('Liste Armée'!$H44=VLOOKUP("Drilled",Zone_Traduction,ref_langue,FALSE),VLOOKUP('Liste Armée'!$E44&amp;" "&amp;'Liste Armée'!$F44,Table_budget,MATCH(VLOOKUP("Drilled",Zone_Traduction,ref_langue,FALSE),Colonnes_table_budget,FALSE),FALSE),0)+IF(ISERROR(VLOOKUP(BJ33&amp;" "&amp;$G33,Table_armes_tir,2,FALSE)),0,VLOOKUP(BJ33&amp;" "&amp;$G33,Table_armes_tir,2,FALSE))+IF(ISERROR(VLOOKUP(BJ33&amp;" "&amp;$I33,Table_armes_melee,2,FALSE)),0,VLOOKUP(BJ33&amp;" "&amp;$I33,Table_armes_melee,2,FALSE))+IF(ISERROR(VLOOKUP($J33,Table_special,2,FALSE)),0,VLOOKUP($J33,Table_special,2,FALSE))</f>
        <v>0</v>
      </c>
      <c r="BL33" s="14">
        <f>'Liste Armée'!$M44*'Liste Armée'!$L44</f>
        <v>0</v>
      </c>
      <c r="BM33" s="9"/>
      <c r="BN33" s="14">
        <f>IF(OR('Liste Armée'!$E44="CV",'Liste Armée'!$E44="LH",'Liste Armée'!$E44="LCH"),'Liste Armée'!$L44,0)</f>
        <v>0</v>
      </c>
    </row>
    <row r="34" spans="1:66" ht="12.75" customHeight="1">
      <c r="A34" s="70" t="s">
        <v>521</v>
      </c>
      <c r="B34" s="74" t="str">
        <f ca="1">CONCATENATE("Mob"," ",VLOOKUP("Protected",Zone_Traduction,ref_langue,FALSE))</f>
        <v>Mob Protected</v>
      </c>
      <c r="C34" s="28">
        <v>9</v>
      </c>
      <c r="D34" s="28">
        <v>7</v>
      </c>
      <c r="E34" s="28">
        <v>5</v>
      </c>
      <c r="F34" s="28">
        <v>3</v>
      </c>
      <c r="G34" s="28">
        <v>1</v>
      </c>
      <c r="H34" s="84">
        <v>0</v>
      </c>
      <c r="M34" s="146">
        <v>14</v>
      </c>
      <c r="N34" s="149" t="s">
        <v>825</v>
      </c>
      <c r="AF34" s="71">
        <v>8</v>
      </c>
      <c r="AG34" s="86">
        <f>ROUNDUP(AG10,0)</f>
        <v>1</v>
      </c>
      <c r="AH34" s="86">
        <f>ROUNDUP(AH10,0)</f>
        <v>2</v>
      </c>
      <c r="AI34">
        <v>4</v>
      </c>
      <c r="AJ34">
        <v>5</v>
      </c>
      <c r="AK34">
        <v>6</v>
      </c>
      <c r="AL34">
        <v>7</v>
      </c>
      <c r="AM34">
        <v>8</v>
      </c>
      <c r="AN34" s="86">
        <f t="shared" si="6"/>
        <v>10</v>
      </c>
      <c r="AO34" s="86">
        <f aca="true" t="shared" si="7" ref="AO34:AP36">ROUNDUP(AO10,0)</f>
        <v>0</v>
      </c>
      <c r="AP34" s="86">
        <f t="shared" si="7"/>
        <v>0</v>
      </c>
      <c r="BI34" s="66">
        <f>IF('Liste Armée'!E45="SCh",1,0)</f>
        <v>0</v>
      </c>
      <c r="BJ34" s="66" t="str">
        <f>IF(OR('Liste Armée'!$E45="HF",'Liste Armée'!$E45="MF",'Liste Armée'!$E45="LF"),"infanterie",IF(OR('Liste Armée'!$E45="Kn",'Liste Armée'!$E45="Ct",'Liste Armée'!$E45="Cv",'Liste Armée'!$E45="LH",'Liste Armée'!$E45="LCh",'Liste Armée'!$E45="HCh",'Liste Armée'!$E45="SCh",'Liste Armée'!$E45="EL"),"montes",IF(OR('Liste Armée'!$E45="BWG"),"BWG","special")))</f>
        <v>special</v>
      </c>
      <c r="BK34" s="14">
        <f ca="1">VLOOKUP('Liste Armée'!$E45&amp;" "&amp;'Liste Armée'!$F45,Table_budget,MATCH('Liste Armée'!$G45,Colonnes_table_budget,FALSE),FALSE)+IF('Liste Armée'!$H45=VLOOKUP("Drilled",Zone_Traduction,ref_langue,FALSE),VLOOKUP('Liste Armée'!$E45&amp;" "&amp;'Liste Armée'!$F45,Table_budget,MATCH(VLOOKUP("Drilled",Zone_Traduction,ref_langue,FALSE),Colonnes_table_budget,FALSE),FALSE),0)+IF(ISERROR(VLOOKUP(BJ34&amp;" "&amp;$G34,Table_armes_tir,2,FALSE)),0,VLOOKUP(BJ34&amp;" "&amp;$G34,Table_armes_tir,2,FALSE))+IF(ISERROR(VLOOKUP(BJ34&amp;" "&amp;$I34,Table_armes_melee,2,FALSE)),0,VLOOKUP(BJ34&amp;" "&amp;$I34,Table_armes_melee,2,FALSE))+IF(ISERROR(VLOOKUP($J34,Table_special,2,FALSE)),0,VLOOKUP($J34,Table_special,2,FALSE))</f>
        <v>0</v>
      </c>
      <c r="BL34" s="14">
        <f>'Liste Armée'!$M45*'Liste Armée'!$L45</f>
        <v>0</v>
      </c>
      <c r="BM34" s="9"/>
      <c r="BN34" s="14">
        <f>IF(OR('Liste Armée'!$E45="CV",'Liste Armée'!$E45="LH",'Liste Armée'!$E45="LCH"),'Liste Armée'!$L45,0)</f>
        <v>0</v>
      </c>
    </row>
    <row r="35" spans="1:66" ht="12.75" customHeight="1">
      <c r="A35" s="70"/>
      <c r="B35" s="151" t="s">
        <v>826</v>
      </c>
      <c r="C35" s="28"/>
      <c r="D35" s="28"/>
      <c r="E35" s="28"/>
      <c r="F35" s="28"/>
      <c r="G35" s="28"/>
      <c r="H35" s="84">
        <v>0</v>
      </c>
      <c r="J35" s="153"/>
      <c r="K35" s="154"/>
      <c r="M35" s="146">
        <v>15</v>
      </c>
      <c r="N35" s="149" t="s">
        <v>827</v>
      </c>
      <c r="AF35" s="71">
        <v>9</v>
      </c>
      <c r="AG35" s="86">
        <f>ROUNDUP(AG11,0)</f>
        <v>1</v>
      </c>
      <c r="AH35" s="86">
        <f>ROUNDUP(AH11,0)</f>
        <v>2</v>
      </c>
      <c r="AI35">
        <v>3</v>
      </c>
      <c r="AJ35">
        <v>4</v>
      </c>
      <c r="AK35">
        <v>5</v>
      </c>
      <c r="AL35">
        <v>6</v>
      </c>
      <c r="AM35">
        <v>7</v>
      </c>
      <c r="AN35">
        <v>8</v>
      </c>
      <c r="AO35" s="86">
        <f t="shared" si="7"/>
        <v>10</v>
      </c>
      <c r="AP35" s="86">
        <f t="shared" si="7"/>
        <v>0</v>
      </c>
      <c r="AQ35" s="86">
        <f aca="true" t="shared" si="8" ref="AQ35:AR38">ROUNDUP(AQ11,0)</f>
        <v>0</v>
      </c>
      <c r="AR35" s="86">
        <f t="shared" si="8"/>
        <v>0</v>
      </c>
      <c r="BI35" s="66">
        <f>IF('Liste Armée'!E46="SCh",1,0)</f>
        <v>0</v>
      </c>
      <c r="BJ35" s="66" t="str">
        <f>IF(OR('Liste Armée'!$E46="HF",'Liste Armée'!$E46="MF",'Liste Armée'!$E46="LF"),"infanterie",IF(OR('Liste Armée'!$E46="Kn",'Liste Armée'!$E46="Ct",'Liste Armée'!$E46="Cv",'Liste Armée'!$E46="LH",'Liste Armée'!$E46="LCh",'Liste Armée'!$E46="HCh",'Liste Armée'!$E46="SCh",'Liste Armée'!$E46="EL"),"montes",IF(OR('Liste Armée'!$E46="BWG"),"BWG","special")))</f>
        <v>special</v>
      </c>
      <c r="BK35" s="14">
        <f ca="1">VLOOKUP('Liste Armée'!$E46&amp;" "&amp;'Liste Armée'!$F46,Table_budget,MATCH('Liste Armée'!$G46,Colonnes_table_budget,FALSE),FALSE)+IF('Liste Armée'!$H46=VLOOKUP("Drilled",Zone_Traduction,ref_langue,FALSE),VLOOKUP('Liste Armée'!$E46&amp;" "&amp;'Liste Armée'!$F46,Table_budget,MATCH(VLOOKUP("Drilled",Zone_Traduction,ref_langue,FALSE),Colonnes_table_budget,FALSE),FALSE),0)+IF(ISERROR(VLOOKUP(BJ35&amp;" "&amp;$G35,Table_armes_tir,2,FALSE)),0,VLOOKUP(BJ35&amp;" "&amp;$G35,Table_armes_tir,2,FALSE))+IF(ISERROR(VLOOKUP(BJ35&amp;" "&amp;$I35,Table_armes_melee,2,FALSE)),0,VLOOKUP(BJ35&amp;" "&amp;$I35,Table_armes_melee,2,FALSE))+IF(ISERROR(VLOOKUP($J35,Table_special,2,FALSE)),0,VLOOKUP($J35,Table_special,2,FALSE))</f>
        <v>0</v>
      </c>
      <c r="BL35" s="14">
        <f>'Liste Armée'!$M46*'Liste Armée'!$L46</f>
        <v>0</v>
      </c>
      <c r="BM35" s="9"/>
      <c r="BN35" s="14">
        <f>IF(OR('Liste Armée'!$E46="CV",'Liste Armée'!$E46="LH",'Liste Armée'!$E46="LCH"),'Liste Armée'!$L46,0)</f>
        <v>0</v>
      </c>
    </row>
    <row r="36" spans="2:66" ht="12.75" customHeight="1">
      <c r="B36" s="74"/>
      <c r="C36" s="28"/>
      <c r="D36" s="28"/>
      <c r="E36" s="28"/>
      <c r="F36" s="28"/>
      <c r="G36" s="28"/>
      <c r="H36" s="84"/>
      <c r="J36" s="153"/>
      <c r="K36" s="154"/>
      <c r="M36" s="146">
        <v>16</v>
      </c>
      <c r="N36" s="149" t="s">
        <v>828</v>
      </c>
      <c r="AF36" s="71">
        <v>10</v>
      </c>
      <c r="AG36" s="86">
        <f>ROUNDUP(AG12,0)</f>
        <v>1</v>
      </c>
      <c r="AH36">
        <v>2</v>
      </c>
      <c r="AI36">
        <v>3</v>
      </c>
      <c r="AJ36">
        <v>4</v>
      </c>
      <c r="AK36">
        <v>5</v>
      </c>
      <c r="AL36">
        <v>6</v>
      </c>
      <c r="AM36">
        <v>7</v>
      </c>
      <c r="AN36">
        <v>8</v>
      </c>
      <c r="AO36">
        <v>9</v>
      </c>
      <c r="AP36" s="86">
        <f t="shared" si="7"/>
        <v>10</v>
      </c>
      <c r="AQ36" s="86">
        <f t="shared" si="8"/>
        <v>0</v>
      </c>
      <c r="AR36" s="86">
        <f t="shared" si="8"/>
        <v>0</v>
      </c>
      <c r="AS36" s="86">
        <f>ROUNDUP(AS12,0)</f>
        <v>0</v>
      </c>
      <c r="BI36" s="66">
        <f>IF('Liste Armée'!E47="SCh",1,0)</f>
        <v>0</v>
      </c>
      <c r="BJ36" s="66" t="str">
        <f>IF(OR('Liste Armée'!$E47="HF",'Liste Armée'!$E47="MF",'Liste Armée'!$E47="LF"),"infanterie",IF(OR('Liste Armée'!$E47="Kn",'Liste Armée'!$E47="Ct",'Liste Armée'!$E47="Cv",'Liste Armée'!$E47="LH",'Liste Armée'!$E47="LCh",'Liste Armée'!$E47="HCh",'Liste Armée'!$E47="SCh",'Liste Armée'!$E47="EL"),"montes",IF(OR('Liste Armée'!$E47="BWG"),"BWG","special")))</f>
        <v>special</v>
      </c>
      <c r="BK36" s="14">
        <f ca="1">VLOOKUP('Liste Armée'!$E47&amp;" "&amp;'Liste Armée'!$F47,Table_budget,MATCH('Liste Armée'!$G47,Colonnes_table_budget,FALSE),FALSE)+IF('Liste Armée'!$H47=VLOOKUP("Drilled",Zone_Traduction,ref_langue,FALSE),VLOOKUP('Liste Armée'!$E47&amp;" "&amp;'Liste Armée'!$F47,Table_budget,MATCH(VLOOKUP("Drilled",Zone_Traduction,ref_langue,FALSE),Colonnes_table_budget,FALSE),FALSE),0)+IF(ISERROR(VLOOKUP(BJ36&amp;" "&amp;$G36,Table_armes_tir,2,FALSE)),0,VLOOKUP(BJ36&amp;" "&amp;$G36,Table_armes_tir,2,FALSE))+IF(ISERROR(VLOOKUP(BJ36&amp;" "&amp;$I36,Table_armes_melee,2,FALSE)),0,VLOOKUP(BJ36&amp;" "&amp;$I36,Table_armes_melee,2,FALSE))+IF(ISERROR(VLOOKUP($J36,Table_special,2,FALSE)),0,VLOOKUP($J36,Table_special,2,FALSE))</f>
        <v>0</v>
      </c>
      <c r="BL36" s="14">
        <f>'Liste Armée'!$M47*'Liste Armée'!$L47</f>
        <v>0</v>
      </c>
      <c r="BM36" s="9"/>
      <c r="BN36" s="14">
        <f>IF(OR('Liste Armée'!$E47="CV",'Liste Armée'!$E47="LH",'Liste Armée'!$E47="LCH"),'Liste Armée'!$L47,0)</f>
        <v>0</v>
      </c>
    </row>
    <row r="37" spans="2:66" ht="12.75" customHeight="1">
      <c r="B37" s="137"/>
      <c r="C37" s="140"/>
      <c r="D37" s="140"/>
      <c r="E37" s="140"/>
      <c r="F37" s="140"/>
      <c r="G37" s="140"/>
      <c r="H37" s="136"/>
      <c r="J37" s="153"/>
      <c r="K37" s="154"/>
      <c r="M37" s="146">
        <v>17</v>
      </c>
      <c r="N37" s="149" t="s">
        <v>829</v>
      </c>
      <c r="AF37" s="71">
        <v>11</v>
      </c>
      <c r="AG37" s="86">
        <f>ROUNDUP(AG13,0)</f>
        <v>1</v>
      </c>
      <c r="AH37">
        <v>2</v>
      </c>
      <c r="AI37">
        <v>3</v>
      </c>
      <c r="AJ37">
        <v>3</v>
      </c>
      <c r="AK37">
        <v>4</v>
      </c>
      <c r="AL37">
        <v>5</v>
      </c>
      <c r="AM37">
        <v>6</v>
      </c>
      <c r="AN37">
        <v>7</v>
      </c>
      <c r="AO37">
        <v>8</v>
      </c>
      <c r="AP37">
        <v>9</v>
      </c>
      <c r="AQ37" s="86">
        <f t="shared" si="8"/>
        <v>10</v>
      </c>
      <c r="AR37" s="86">
        <f t="shared" si="8"/>
        <v>0</v>
      </c>
      <c r="AS37" s="86">
        <f>ROUNDUP(AS13,0)</f>
        <v>0</v>
      </c>
      <c r="AT37" s="86">
        <f>ROUNDUP(AT13,0)</f>
        <v>0</v>
      </c>
      <c r="BI37" s="66">
        <f>IF('Liste Armée'!E48="SCh",1,0)</f>
        <v>0</v>
      </c>
      <c r="BJ37" s="66" t="str">
        <f>IF(OR('Liste Armée'!$E48="HF",'Liste Armée'!$E48="MF",'Liste Armée'!$E48="LF"),"infanterie",IF(OR('Liste Armée'!$E48="Kn",'Liste Armée'!$E48="Ct",'Liste Armée'!$E48="Cv",'Liste Armée'!$E48="LH",'Liste Armée'!$E48="LCh",'Liste Armée'!$E48="HCh",'Liste Armée'!$E48="SCh",'Liste Armée'!$E48="EL"),"montes",IF(OR('Liste Armée'!$E48="BWG"),"BWG","special")))</f>
        <v>special</v>
      </c>
      <c r="BK37" s="14">
        <f ca="1">VLOOKUP('Liste Armée'!$E48&amp;" "&amp;'Liste Armée'!$F48,Table_budget,MATCH('Liste Armée'!$G48,Colonnes_table_budget,FALSE),FALSE)+IF('Liste Armée'!$H48=VLOOKUP("Drilled",Zone_Traduction,ref_langue,FALSE),VLOOKUP('Liste Armée'!$E48&amp;" "&amp;'Liste Armée'!$F48,Table_budget,MATCH(VLOOKUP("Drilled",Zone_Traduction,ref_langue,FALSE),Colonnes_table_budget,FALSE),FALSE),0)+IF(ISERROR(VLOOKUP(BJ37&amp;" "&amp;$G37,Table_armes_tir,2,FALSE)),0,VLOOKUP(BJ37&amp;" "&amp;$G37,Table_armes_tir,2,FALSE))+IF(ISERROR(VLOOKUP(BJ37&amp;" "&amp;$I37,Table_armes_melee,2,FALSE)),0,VLOOKUP(BJ37&amp;" "&amp;$I37,Table_armes_melee,2,FALSE))+IF(ISERROR(VLOOKUP($J37,Table_special,2,FALSE)),0,VLOOKUP($J37,Table_special,2,FALSE))</f>
        <v>0</v>
      </c>
      <c r="BL37" s="14">
        <f>'Liste Armée'!$M48*'Liste Armée'!$L48</f>
        <v>0</v>
      </c>
      <c r="BM37" s="9"/>
      <c r="BN37" s="14">
        <f>IF(OR('Liste Armée'!$E48="CV",'Liste Armée'!$E48="LH",'Liste Armée'!$E48="LCH"),'Liste Armée'!$L48,0)</f>
        <v>0</v>
      </c>
    </row>
    <row r="38" spans="2:66" ht="12.75" customHeight="1">
      <c r="B38" s="155"/>
      <c r="C38" s="28"/>
      <c r="D38" s="28"/>
      <c r="E38" s="28"/>
      <c r="F38" s="28"/>
      <c r="G38" s="28"/>
      <c r="H38" s="28"/>
      <c r="J38" s="153"/>
      <c r="K38" s="154"/>
      <c r="M38" s="146">
        <v>18</v>
      </c>
      <c r="N38" s="149" t="s">
        <v>830</v>
      </c>
      <c r="AF38" s="71">
        <v>12</v>
      </c>
      <c r="AG38">
        <v>1</v>
      </c>
      <c r="AH38">
        <v>2</v>
      </c>
      <c r="AI38">
        <v>2</v>
      </c>
      <c r="AJ38">
        <v>3</v>
      </c>
      <c r="AK38">
        <v>4</v>
      </c>
      <c r="AL38">
        <v>5</v>
      </c>
      <c r="AM38">
        <v>6</v>
      </c>
      <c r="AN38">
        <v>6</v>
      </c>
      <c r="AO38">
        <v>7</v>
      </c>
      <c r="AP38">
        <v>8</v>
      </c>
      <c r="AQ38">
        <v>9</v>
      </c>
      <c r="AR38" s="86">
        <f t="shared" si="8"/>
        <v>10</v>
      </c>
      <c r="BI38" s="66">
        <f>IF('Liste Armée'!E49="SCh",1,0)</f>
        <v>0</v>
      </c>
      <c r="BJ38" s="66" t="str">
        <f>IF(OR('Liste Armée'!$E49="HF",'Liste Armée'!$E49="MF",'Liste Armée'!$E49="LF"),"infanterie",IF(OR('Liste Armée'!$E49="Kn",'Liste Armée'!$E49="Ct",'Liste Armée'!$E49="Cv",'Liste Armée'!$E49="LH",'Liste Armée'!$E49="LCh",'Liste Armée'!$E49="HCh",'Liste Armée'!$E49="SCh",'Liste Armée'!$E49="EL"),"montes",IF(OR('Liste Armée'!$E49="BWG"),"BWG","special")))</f>
        <v>special</v>
      </c>
      <c r="BK38" s="14">
        <f ca="1">VLOOKUP('Liste Armée'!$E49&amp;" "&amp;'Liste Armée'!$F49,Table_budget,MATCH('Liste Armée'!$G49,Colonnes_table_budget,FALSE),FALSE)+IF('Liste Armée'!$H49=VLOOKUP("Drilled",Zone_Traduction,ref_langue,FALSE),VLOOKUP('Liste Armée'!$E49&amp;" "&amp;'Liste Armée'!$F49,Table_budget,MATCH(VLOOKUP("Drilled",Zone_Traduction,ref_langue,FALSE),Colonnes_table_budget,FALSE),FALSE),0)+IF(ISERROR(VLOOKUP(BJ38&amp;" "&amp;$G38,Table_armes_tir,2,FALSE)),0,VLOOKUP(BJ38&amp;" "&amp;$G38,Table_armes_tir,2,FALSE))+IF(ISERROR(VLOOKUP(BJ38&amp;" "&amp;$I38,Table_armes_melee,2,FALSE)),0,VLOOKUP(BJ38&amp;" "&amp;$I38,Table_armes_melee,2,FALSE))+IF(ISERROR(VLOOKUP($J38,Table_special,2,FALSE)),0,VLOOKUP($J38,Table_special,2,FALSE))</f>
        <v>0</v>
      </c>
      <c r="BL38" s="14">
        <f>'Liste Armée'!$M49*'Liste Armée'!$L49</f>
        <v>0</v>
      </c>
      <c r="BM38" s="9"/>
      <c r="BN38" s="14">
        <f>IF(OR('Liste Armée'!$E49="CV",'Liste Armée'!$E49="LH",'Liste Armée'!$E49="LCH"),'Liste Armée'!$L49,0)</f>
        <v>0</v>
      </c>
    </row>
    <row r="39" spans="2:66" ht="12.75" customHeight="1">
      <c r="B39" s="155"/>
      <c r="C39" s="28"/>
      <c r="D39" s="28"/>
      <c r="E39" s="28"/>
      <c r="F39" s="28"/>
      <c r="G39" s="28"/>
      <c r="H39" s="28"/>
      <c r="J39" s="153"/>
      <c r="K39" s="154"/>
      <c r="M39" s="146">
        <v>19</v>
      </c>
      <c r="N39" s="149" t="s">
        <v>831</v>
      </c>
      <c r="AF39" s="71">
        <v>13</v>
      </c>
      <c r="AG39">
        <v>1</v>
      </c>
      <c r="AH39">
        <v>1</v>
      </c>
      <c r="AI39">
        <v>2</v>
      </c>
      <c r="AJ39">
        <v>3</v>
      </c>
      <c r="AK39">
        <v>4</v>
      </c>
      <c r="AL39">
        <v>4</v>
      </c>
      <c r="AM39">
        <v>5</v>
      </c>
      <c r="AN39">
        <v>6</v>
      </c>
      <c r="AO39">
        <v>7</v>
      </c>
      <c r="AP39">
        <v>7</v>
      </c>
      <c r="AQ39">
        <v>8</v>
      </c>
      <c r="AR39">
        <v>9</v>
      </c>
      <c r="AS39" s="86">
        <f aca="true" t="shared" si="9" ref="AS39:AU40">ROUNDUP(AS15,0)</f>
        <v>10</v>
      </c>
      <c r="AT39" s="86">
        <f t="shared" si="9"/>
        <v>0</v>
      </c>
      <c r="AU39" s="86">
        <f t="shared" si="9"/>
        <v>0</v>
      </c>
      <c r="BI39" s="66">
        <f>IF('Liste Armée'!E50="SCh",1,0)</f>
        <v>0</v>
      </c>
      <c r="BJ39" s="66" t="str">
        <f>IF(OR('Liste Armée'!$E50="HF",'Liste Armée'!$E50="MF",'Liste Armée'!$E50="LF"),"infanterie",IF(OR('Liste Armée'!$E50="Kn",'Liste Armée'!$E50="Ct",'Liste Armée'!$E50="Cv",'Liste Armée'!$E50="LH",'Liste Armée'!$E50="LCh",'Liste Armée'!$E50="HCh",'Liste Armée'!$E50="SCh",'Liste Armée'!$E50="EL"),"montes",IF(OR('Liste Armée'!$E50="BWG"),"BWG","special")))</f>
        <v>special</v>
      </c>
      <c r="BK39" s="14">
        <f ca="1">VLOOKUP('Liste Armée'!$E50&amp;" "&amp;'Liste Armée'!$F50,Table_budget,MATCH('Liste Armée'!$G50,Colonnes_table_budget,FALSE),FALSE)+IF('Liste Armée'!$H50=VLOOKUP("Drilled",Zone_Traduction,ref_langue,FALSE),VLOOKUP('Liste Armée'!$E50&amp;" "&amp;'Liste Armée'!$F50,Table_budget,MATCH(VLOOKUP("Drilled",Zone_Traduction,ref_langue,FALSE),Colonnes_table_budget,FALSE),FALSE),0)+IF(ISERROR(VLOOKUP(BJ39&amp;" "&amp;$G39,Table_armes_tir,2,FALSE)),0,VLOOKUP(BJ39&amp;" "&amp;$G39,Table_armes_tir,2,FALSE))+IF(ISERROR(VLOOKUP(BJ39&amp;" "&amp;$I39,Table_armes_melee,2,FALSE)),0,VLOOKUP(BJ39&amp;" "&amp;$I39,Table_armes_melee,2,FALSE))+IF(ISERROR(VLOOKUP($J39,Table_special,2,FALSE)),0,VLOOKUP($J39,Table_special,2,FALSE))</f>
        <v>0</v>
      </c>
      <c r="BL39" s="14">
        <f>'Liste Armée'!$M50*'Liste Armée'!$L50</f>
        <v>0</v>
      </c>
      <c r="BM39" s="9"/>
      <c r="BN39" s="14">
        <f>IF(OR('Liste Armée'!$E50="CV",'Liste Armée'!$E50="LH",'Liste Armée'!$E50="LCH"),'Liste Armée'!$L50,0)</f>
        <v>0</v>
      </c>
    </row>
    <row r="40" spans="2:66" ht="12.75" customHeight="1">
      <c r="B40" s="155"/>
      <c r="C40" s="28"/>
      <c r="D40" s="28"/>
      <c r="E40" s="28"/>
      <c r="F40" s="28"/>
      <c r="G40" s="28"/>
      <c r="H40" s="28"/>
      <c r="J40" s="153"/>
      <c r="K40" s="154"/>
      <c r="M40" s="146">
        <v>20</v>
      </c>
      <c r="N40" s="149" t="s">
        <v>832</v>
      </c>
      <c r="AF40" s="71">
        <v>14</v>
      </c>
      <c r="AG40">
        <v>1</v>
      </c>
      <c r="AH40">
        <v>1</v>
      </c>
      <c r="AI40">
        <v>2</v>
      </c>
      <c r="AJ40">
        <v>3</v>
      </c>
      <c r="AK40">
        <v>3</v>
      </c>
      <c r="AL40">
        <v>4</v>
      </c>
      <c r="AM40">
        <v>5</v>
      </c>
      <c r="AN40">
        <v>5</v>
      </c>
      <c r="AO40">
        <v>6</v>
      </c>
      <c r="AP40">
        <v>7</v>
      </c>
      <c r="AQ40">
        <v>7</v>
      </c>
      <c r="AR40">
        <v>8</v>
      </c>
      <c r="AS40">
        <v>9</v>
      </c>
      <c r="AT40" s="86">
        <f t="shared" si="9"/>
        <v>10</v>
      </c>
      <c r="AU40" s="86">
        <f t="shared" si="9"/>
        <v>0</v>
      </c>
      <c r="BI40" s="66">
        <f>IF('Liste Armée'!E51="SCh",1,0)</f>
        <v>0</v>
      </c>
      <c r="BJ40" s="66" t="str">
        <f>IF(OR('Liste Armée'!$E51="HF",'Liste Armée'!$E51="MF",'Liste Armée'!$E51="LF"),"infanterie",IF(OR('Liste Armée'!$E51="Kn",'Liste Armée'!$E51="Ct",'Liste Armée'!$E51="Cv",'Liste Armée'!$E51="LH",'Liste Armée'!$E51="LCh",'Liste Armée'!$E51="HCh",'Liste Armée'!$E51="SCh",'Liste Armée'!$E51="EL"),"montes",IF(OR('Liste Armée'!$E51="BWG"),"BWG","special")))</f>
        <v>special</v>
      </c>
      <c r="BK40" s="14">
        <f ca="1">VLOOKUP('Liste Armée'!$E51&amp;" "&amp;'Liste Armée'!$F51,Table_budget,MATCH('Liste Armée'!$G51,Colonnes_table_budget,FALSE),FALSE)+IF('Liste Armée'!$H51=VLOOKUP("Drilled",Zone_Traduction,ref_langue,FALSE),VLOOKUP('Liste Armée'!$E51&amp;" "&amp;'Liste Armée'!$F51,Table_budget,MATCH(VLOOKUP("Drilled",Zone_Traduction,ref_langue,FALSE),Colonnes_table_budget,FALSE),FALSE),0)+IF(ISERROR(VLOOKUP(BJ40&amp;" "&amp;$G40,Table_armes_tir,2,FALSE)),0,VLOOKUP(BJ40&amp;" "&amp;$G40,Table_armes_tir,2,FALSE))+IF(ISERROR(VLOOKUP(BJ40&amp;" "&amp;$I40,Table_armes_melee,2,FALSE)),0,VLOOKUP(BJ40&amp;" "&amp;$I40,Table_armes_melee,2,FALSE))+IF(ISERROR(VLOOKUP($J40,Table_special,2,FALSE)),0,VLOOKUP($J40,Table_special,2,FALSE))</f>
        <v>0</v>
      </c>
      <c r="BL40" s="14">
        <f>'Liste Armée'!$M51*'Liste Armée'!$L51</f>
        <v>0</v>
      </c>
      <c r="BM40" s="9"/>
      <c r="BN40" s="14">
        <f>IF(OR('Liste Armée'!$E51="CV",'Liste Armée'!$E51="LH",'Liste Armée'!$E51="LCH"),'Liste Armée'!$L51,0)</f>
        <v>0</v>
      </c>
    </row>
    <row r="41" spans="2:66" ht="12.75" customHeight="1">
      <c r="B41" s="155"/>
      <c r="C41" s="28"/>
      <c r="D41" s="28"/>
      <c r="E41" s="28"/>
      <c r="F41" s="28"/>
      <c r="G41" s="28"/>
      <c r="H41" s="28"/>
      <c r="M41" s="146">
        <v>21</v>
      </c>
      <c r="N41" s="149" t="s">
        <v>833</v>
      </c>
      <c r="AF41" s="71">
        <v>15</v>
      </c>
      <c r="AG41">
        <v>1</v>
      </c>
      <c r="AH41">
        <v>1</v>
      </c>
      <c r="AI41">
        <v>2</v>
      </c>
      <c r="AJ41">
        <v>2</v>
      </c>
      <c r="AK41">
        <v>3</v>
      </c>
      <c r="AL41">
        <v>4</v>
      </c>
      <c r="AM41">
        <v>4</v>
      </c>
      <c r="AN41">
        <v>5</v>
      </c>
      <c r="AO41">
        <v>6</v>
      </c>
      <c r="AP41">
        <v>6</v>
      </c>
      <c r="AQ41">
        <v>7</v>
      </c>
      <c r="AR41">
        <v>8</v>
      </c>
      <c r="AS41">
        <v>8</v>
      </c>
      <c r="AT41">
        <v>9</v>
      </c>
      <c r="AU41" s="86">
        <f>ROUNDUP(AU17,0)</f>
        <v>10</v>
      </c>
      <c r="AV41" s="86">
        <f>ROUNDUP(AV17,0)</f>
        <v>0</v>
      </c>
      <c r="BI41" s="66">
        <f>IF('Liste Armée'!E52="SCh",1,0)</f>
        <v>0</v>
      </c>
      <c r="BJ41" s="66" t="str">
        <f>IF(OR('Liste Armée'!$E52="HF",'Liste Armée'!$E52="MF",'Liste Armée'!$E52="LF"),"infanterie",IF(OR('Liste Armée'!$E52="Kn",'Liste Armée'!$E52="Ct",'Liste Armée'!$E52="Cv",'Liste Armée'!$E52="LH",'Liste Armée'!$E52="LCh",'Liste Armée'!$E52="HCh",'Liste Armée'!$E52="SCh",'Liste Armée'!$E52="EL"),"montes",IF(OR('Liste Armée'!$E52="BWG"),"BWG","special")))</f>
        <v>special</v>
      </c>
      <c r="BK41" s="14">
        <f ca="1">VLOOKUP('Liste Armée'!$E52&amp;" "&amp;'Liste Armée'!$F52,Table_budget,MATCH('Liste Armée'!$G52,Colonnes_table_budget,FALSE),FALSE)+IF('Liste Armée'!$H52=VLOOKUP("Drilled",Zone_Traduction,ref_langue,FALSE),VLOOKUP('Liste Armée'!$E52&amp;" "&amp;'Liste Armée'!$F52,Table_budget,MATCH(VLOOKUP("Drilled",Zone_Traduction,ref_langue,FALSE),Colonnes_table_budget,FALSE),FALSE),0)+IF(ISERROR(VLOOKUP(BJ41&amp;" "&amp;$G41,Table_armes_tir,2,FALSE)),0,VLOOKUP(BJ41&amp;" "&amp;$G41,Table_armes_tir,2,FALSE))+IF(ISERROR(VLOOKUP(BJ41&amp;" "&amp;$I41,Table_armes_melee,2,FALSE)),0,VLOOKUP(BJ41&amp;" "&amp;$I41,Table_armes_melee,2,FALSE))+IF(ISERROR(VLOOKUP($J41,Table_special,2,FALSE)),0,VLOOKUP($J41,Table_special,2,FALSE))</f>
        <v>0</v>
      </c>
      <c r="BL41" s="14">
        <f>'Liste Armée'!$M52*'Liste Armée'!$L52</f>
        <v>0</v>
      </c>
      <c r="BM41" s="9"/>
      <c r="BN41" s="14">
        <f>IF(OR('Liste Armée'!$E52="CV",'Liste Armée'!$E52="LH",'Liste Armée'!$E52="LCH"),'Liste Armée'!$L52,0)</f>
        <v>0</v>
      </c>
    </row>
    <row r="42" spans="2:66" ht="12.75" customHeight="1">
      <c r="B42" s="155"/>
      <c r="C42" s="28"/>
      <c r="D42" s="28"/>
      <c r="E42" s="28"/>
      <c r="F42" s="28"/>
      <c r="G42" s="28"/>
      <c r="H42" s="28"/>
      <c r="M42" s="146">
        <v>22</v>
      </c>
      <c r="N42" s="149" t="s">
        <v>834</v>
      </c>
      <c r="AF42" s="71">
        <v>16</v>
      </c>
      <c r="AG42">
        <v>1</v>
      </c>
      <c r="AH42">
        <v>1</v>
      </c>
      <c r="AI42">
        <v>2</v>
      </c>
      <c r="AJ42">
        <v>2</v>
      </c>
      <c r="AK42">
        <v>3</v>
      </c>
      <c r="AL42">
        <v>3</v>
      </c>
      <c r="AM42">
        <v>4</v>
      </c>
      <c r="AN42">
        <v>5</v>
      </c>
      <c r="AO42">
        <v>5</v>
      </c>
      <c r="AP42">
        <v>6</v>
      </c>
      <c r="AQ42">
        <v>6</v>
      </c>
      <c r="AR42">
        <v>7</v>
      </c>
      <c r="AS42">
        <v>8</v>
      </c>
      <c r="AT42">
        <v>8</v>
      </c>
      <c r="AU42">
        <v>9</v>
      </c>
      <c r="AV42" s="86">
        <f>ROUNDUP(AV18,0)</f>
        <v>10</v>
      </c>
      <c r="AW42" s="86">
        <f>ROUNDUP(AW18,0)</f>
        <v>0</v>
      </c>
      <c r="BI42" s="66">
        <f>IF('Liste Armée'!E53="SCh",1,0)</f>
        <v>0</v>
      </c>
      <c r="BJ42" s="66" t="str">
        <f>IF(OR('Liste Armée'!$E53="HF",'Liste Armée'!$E53="MF",'Liste Armée'!$E53="LF"),"infanterie",IF(OR('Liste Armée'!$E53="Kn",'Liste Armée'!$E53="Ct",'Liste Armée'!$E53="Cv",'Liste Armée'!$E53="LH",'Liste Armée'!$E53="LCh",'Liste Armée'!$E53="HCh",'Liste Armée'!$E53="SCh",'Liste Armée'!$E53="EL"),"montes",IF(OR('Liste Armée'!$E53="BWG"),"BWG","special")))</f>
        <v>special</v>
      </c>
      <c r="BK42" s="14">
        <f ca="1">VLOOKUP('Liste Armée'!$E53&amp;" "&amp;'Liste Armée'!$F53,Table_budget,MATCH('Liste Armée'!$G53,Colonnes_table_budget,FALSE),FALSE)+IF('Liste Armée'!$H53=VLOOKUP("Drilled",Zone_Traduction,ref_langue,FALSE),VLOOKUP('Liste Armée'!$E53&amp;" "&amp;'Liste Armée'!$F53,Table_budget,MATCH(VLOOKUP("Drilled",Zone_Traduction,ref_langue,FALSE),Colonnes_table_budget,FALSE),FALSE),0)+IF(ISERROR(VLOOKUP(BJ42&amp;" "&amp;$G42,Table_armes_tir,2,FALSE)),0,VLOOKUP(BJ42&amp;" "&amp;$G42,Table_armes_tir,2,FALSE))+IF(ISERROR(VLOOKUP(BJ42&amp;" "&amp;$I42,Table_armes_melee,2,FALSE)),0,VLOOKUP(BJ42&amp;" "&amp;$I42,Table_armes_melee,2,FALSE))+IF(ISERROR(VLOOKUP($J42,Table_special,2,FALSE)),0,VLOOKUP($J42,Table_special,2,FALSE))</f>
        <v>0</v>
      </c>
      <c r="BL42" s="14">
        <f>'Liste Armée'!$M53*'Liste Armée'!$L53</f>
        <v>0</v>
      </c>
      <c r="BM42" s="9"/>
      <c r="BN42" s="14">
        <f>IF(OR('Liste Armée'!$E53="CV",'Liste Armée'!$E53="LH",'Liste Armée'!$E53="LCH"),'Liste Armée'!$L53,0)</f>
        <v>0</v>
      </c>
    </row>
    <row r="43" spans="13:66" ht="12.75" customHeight="1">
      <c r="M43" s="156">
        <v>23</v>
      </c>
      <c r="N43" s="157" t="s">
        <v>835</v>
      </c>
      <c r="AF43" s="71">
        <v>17</v>
      </c>
      <c r="AG43">
        <v>1</v>
      </c>
      <c r="AH43">
        <v>1</v>
      </c>
      <c r="AI43">
        <v>2</v>
      </c>
      <c r="AJ43">
        <v>2</v>
      </c>
      <c r="AK43">
        <v>3</v>
      </c>
      <c r="AL43">
        <v>3</v>
      </c>
      <c r="AM43">
        <v>4</v>
      </c>
      <c r="AN43">
        <v>4</v>
      </c>
      <c r="AO43">
        <v>5</v>
      </c>
      <c r="AP43">
        <v>6</v>
      </c>
      <c r="AQ43">
        <v>6</v>
      </c>
      <c r="AR43">
        <v>7</v>
      </c>
      <c r="AS43">
        <v>7</v>
      </c>
      <c r="AT43">
        <v>8</v>
      </c>
      <c r="AU43">
        <v>8</v>
      </c>
      <c r="AV43">
        <v>9</v>
      </c>
      <c r="AW43" s="86">
        <f>ROUNDUP(AW19,0)</f>
        <v>10</v>
      </c>
      <c r="AX43" s="86">
        <f>ROUNDUP(AX19,0)</f>
        <v>0</v>
      </c>
      <c r="BI43" s="66">
        <f>IF('Liste Armée'!E54="SCh",1,0)</f>
        <v>0</v>
      </c>
      <c r="BJ43" s="66" t="str">
        <f>IF(OR('Liste Armée'!$E54="HF",'Liste Armée'!$E54="MF",'Liste Armée'!$E54="LF"),"infanterie",IF(OR('Liste Armée'!$E54="Kn",'Liste Armée'!$E54="Ct",'Liste Armée'!$E54="Cv",'Liste Armée'!$E54="LH",'Liste Armée'!$E54="LCh",'Liste Armée'!$E54="HCh",'Liste Armée'!$E54="SCh",'Liste Armée'!$E54="EL"),"montes",IF(OR('Liste Armée'!$E54="BWG"),"BWG","special")))</f>
        <v>special</v>
      </c>
      <c r="BK43" s="14">
        <f ca="1">VLOOKUP('Liste Armée'!$E54&amp;" "&amp;'Liste Armée'!$F54,Table_budget,MATCH('Liste Armée'!$G54,Colonnes_table_budget,FALSE),FALSE)+IF('Liste Armée'!$H54=VLOOKUP("Drilled",Zone_Traduction,ref_langue,FALSE),VLOOKUP('Liste Armée'!$E54&amp;" "&amp;'Liste Armée'!$F54,Table_budget,MATCH(VLOOKUP("Drilled",Zone_Traduction,ref_langue,FALSE),Colonnes_table_budget,FALSE),FALSE),0)+IF(ISERROR(VLOOKUP(BJ43&amp;" "&amp;$G43,Table_armes_tir,2,FALSE)),0,VLOOKUP(BJ43&amp;" "&amp;$G43,Table_armes_tir,2,FALSE))+IF(ISERROR(VLOOKUP(BJ43&amp;" "&amp;$I43,Table_armes_melee,2,FALSE)),0,VLOOKUP(BJ43&amp;" "&amp;$I43,Table_armes_melee,2,FALSE))+IF(ISERROR(VLOOKUP($J43,Table_special,2,FALSE)),0,VLOOKUP($J43,Table_special,2,FALSE))</f>
        <v>0</v>
      </c>
      <c r="BL43" s="14">
        <f>'Liste Armée'!$M54*'Liste Armée'!$L54</f>
        <v>0</v>
      </c>
      <c r="BM43" s="9"/>
      <c r="BN43" s="14">
        <f>IF(OR('Liste Armée'!$E54="CV",'Liste Armée'!$E54="LH",'Liste Armée'!$E54="LCH"),'Liste Armée'!$L54,0)</f>
        <v>0</v>
      </c>
    </row>
    <row r="44" spans="13:66" ht="12.75" customHeight="1">
      <c r="M44" s="146">
        <v>24</v>
      </c>
      <c r="N44" s="157" t="s">
        <v>836</v>
      </c>
      <c r="AF44" s="71">
        <v>18</v>
      </c>
      <c r="AG44">
        <v>1</v>
      </c>
      <c r="AH44">
        <v>1</v>
      </c>
      <c r="AI44">
        <v>1</v>
      </c>
      <c r="AJ44">
        <v>2</v>
      </c>
      <c r="AK44">
        <v>2</v>
      </c>
      <c r="AL44">
        <v>3</v>
      </c>
      <c r="AM44">
        <v>4</v>
      </c>
      <c r="AN44">
        <v>4</v>
      </c>
      <c r="AO44">
        <v>5</v>
      </c>
      <c r="AP44">
        <v>5</v>
      </c>
      <c r="AQ44">
        <v>6</v>
      </c>
      <c r="AR44">
        <v>6</v>
      </c>
      <c r="AS44">
        <v>7</v>
      </c>
      <c r="AT44">
        <v>7</v>
      </c>
      <c r="AU44">
        <v>8</v>
      </c>
      <c r="AV44">
        <v>8</v>
      </c>
      <c r="AW44">
        <v>9</v>
      </c>
      <c r="AX44" s="86">
        <f>ROUNDUP(AX20,0)</f>
        <v>10</v>
      </c>
      <c r="AY44" s="86">
        <f>ROUNDUP(AY20,0)</f>
        <v>0</v>
      </c>
      <c r="BI44" s="66">
        <f>IF('Liste Armée'!E55="SCh",1,0)</f>
        <v>0</v>
      </c>
      <c r="BJ44" s="66" t="str">
        <f>IF(OR('Liste Armée'!$E55="HF",'Liste Armée'!$E55="MF",'Liste Armée'!$E55="LF"),"infanterie",IF(OR('Liste Armée'!$E55="Kn",'Liste Armée'!$E55="Ct",'Liste Armée'!$E55="Cv",'Liste Armée'!$E55="LH",'Liste Armée'!$E55="LCh",'Liste Armée'!$E55="HCh",'Liste Armée'!$E55="SCh",'Liste Armée'!$E55="EL"),"montes",IF(OR('Liste Armée'!$E55="BWG"),"BWG","special")))</f>
        <v>special</v>
      </c>
      <c r="BK44" s="14">
        <f ca="1">VLOOKUP('Liste Armée'!$E55&amp;" "&amp;'Liste Armée'!$F55,Table_budget,MATCH('Liste Armée'!$G55,Colonnes_table_budget,FALSE),FALSE)+IF('Liste Armée'!$H55=VLOOKUP("Drilled",Zone_Traduction,ref_langue,FALSE),VLOOKUP('Liste Armée'!$E55&amp;" "&amp;'Liste Armée'!$F55,Table_budget,MATCH(VLOOKUP("Drilled",Zone_Traduction,ref_langue,FALSE),Colonnes_table_budget,FALSE),FALSE),0)+IF(ISERROR(VLOOKUP(BJ44&amp;" "&amp;$G44,Table_armes_tir,2,FALSE)),0,VLOOKUP(BJ44&amp;" "&amp;$G44,Table_armes_tir,2,FALSE))+IF(ISERROR(VLOOKUP(BJ44&amp;" "&amp;$I44,Table_armes_melee,2,FALSE)),0,VLOOKUP(BJ44&amp;" "&amp;$I44,Table_armes_melee,2,FALSE))+IF(ISERROR(VLOOKUP($J44,Table_special,2,FALSE)),0,VLOOKUP($J44,Table_special,2,FALSE))</f>
        <v>0</v>
      </c>
      <c r="BL44" s="14">
        <f>'Liste Armée'!$M55*'Liste Armée'!$L55</f>
        <v>0</v>
      </c>
      <c r="BM44" s="9"/>
      <c r="BN44" s="14">
        <f>IF(OR('Liste Armée'!$E55="CV",'Liste Armée'!$E55="LH",'Liste Armée'!$E55="LCH"),'Liste Armée'!$L55,0)</f>
        <v>0</v>
      </c>
    </row>
    <row r="45" spans="10:66" ht="12.75" customHeight="1">
      <c r="J45" s="85" t="s">
        <v>837</v>
      </c>
      <c r="K45" s="82"/>
      <c r="M45" s="156">
        <v>25</v>
      </c>
      <c r="N45" s="158" t="s">
        <v>838</v>
      </c>
      <c r="AF45" s="71">
        <v>19</v>
      </c>
      <c r="AG45">
        <v>1</v>
      </c>
      <c r="AH45">
        <v>1</v>
      </c>
      <c r="AI45">
        <v>1</v>
      </c>
      <c r="AJ45">
        <v>2</v>
      </c>
      <c r="AK45">
        <v>2</v>
      </c>
      <c r="AL45">
        <v>3</v>
      </c>
      <c r="AM45">
        <v>3</v>
      </c>
      <c r="AN45">
        <v>4</v>
      </c>
      <c r="AO45">
        <v>4</v>
      </c>
      <c r="AP45">
        <v>5</v>
      </c>
      <c r="AQ45">
        <v>5</v>
      </c>
      <c r="AR45">
        <v>6</v>
      </c>
      <c r="AS45">
        <v>6</v>
      </c>
      <c r="AT45">
        <v>7</v>
      </c>
      <c r="AU45">
        <v>7</v>
      </c>
      <c r="AV45">
        <v>8</v>
      </c>
      <c r="AW45">
        <v>8</v>
      </c>
      <c r="AX45">
        <v>9</v>
      </c>
      <c r="AY45" s="86">
        <f>ROUNDUP(AY21,0)</f>
        <v>10</v>
      </c>
      <c r="AZ45" s="86">
        <f>ROUNDUP(AZ21,0)</f>
        <v>0</v>
      </c>
      <c r="BI45" s="66">
        <f>IF('Liste Armée'!E56="SCh",1,0)</f>
        <v>0</v>
      </c>
      <c r="BJ45" s="66" t="str">
        <f>IF(OR('Liste Armée'!$E56="HF",'Liste Armée'!$E56="MF",'Liste Armée'!$E56="LF"),"infanterie",IF(OR('Liste Armée'!$E56="Kn",'Liste Armée'!$E56="Ct",'Liste Armée'!$E56="Cv",'Liste Armée'!$E56="LH",'Liste Armée'!$E56="LCh",'Liste Armée'!$E56="HCh",'Liste Armée'!$E56="SCh",'Liste Armée'!$E56="EL"),"montes",IF(OR('Liste Armée'!$E56="BWG"),"BWG","special")))</f>
        <v>special</v>
      </c>
      <c r="BK45" s="14">
        <f ca="1">VLOOKUP('Liste Armée'!$E56&amp;" "&amp;'Liste Armée'!$F56,Table_budget,MATCH('Liste Armée'!$G56,Colonnes_table_budget,FALSE),FALSE)+IF('Liste Armée'!$H56=VLOOKUP("Drilled",Zone_Traduction,ref_langue,FALSE),VLOOKUP('Liste Armée'!$E56&amp;" "&amp;'Liste Armée'!$F56,Table_budget,MATCH(VLOOKUP("Drilled",Zone_Traduction,ref_langue,FALSE),Colonnes_table_budget,FALSE),FALSE),0)+IF(ISERROR(VLOOKUP(BJ45&amp;" "&amp;$G45,Table_armes_tir,2,FALSE)),0,VLOOKUP(BJ45&amp;" "&amp;$G45,Table_armes_tir,2,FALSE))+IF(ISERROR(VLOOKUP(BJ45&amp;" "&amp;$I45,Table_armes_melee,2,FALSE)),0,VLOOKUP(BJ45&amp;" "&amp;$I45,Table_armes_melee,2,FALSE))+IF(ISERROR(VLOOKUP($J45,Table_special,2,FALSE)),0,VLOOKUP($J45,Table_special,2,FALSE))</f>
        <v>0</v>
      </c>
      <c r="BL45" s="14">
        <f>'Liste Armée'!$M56*'Liste Armée'!$L56</f>
        <v>0</v>
      </c>
      <c r="BM45" s="9"/>
      <c r="BN45" s="14">
        <f>IF(OR('Liste Armée'!$E56="CV",'Liste Armée'!$E56="LH",'Liste Armée'!$E56="LCH"),'Liste Armée'!$L56,0)</f>
        <v>0</v>
      </c>
    </row>
    <row r="46" spans="10:66" ht="12.75" customHeight="1">
      <c r="J46" s="159" t="s">
        <v>507</v>
      </c>
      <c r="K46" s="88">
        <v>0</v>
      </c>
      <c r="M46" s="146">
        <v>26</v>
      </c>
      <c r="N46" s="158" t="s">
        <v>839</v>
      </c>
      <c r="AF46" s="71">
        <v>20</v>
      </c>
      <c r="AG46">
        <v>1</v>
      </c>
      <c r="AH46">
        <v>1</v>
      </c>
      <c r="AI46">
        <v>1</v>
      </c>
      <c r="AJ46">
        <v>2</v>
      </c>
      <c r="AK46">
        <v>2</v>
      </c>
      <c r="AL46">
        <v>3</v>
      </c>
      <c r="AM46">
        <v>3</v>
      </c>
      <c r="AN46">
        <v>4</v>
      </c>
      <c r="AO46">
        <v>4</v>
      </c>
      <c r="AP46">
        <v>5</v>
      </c>
      <c r="AQ46">
        <v>5</v>
      </c>
      <c r="AR46">
        <v>6</v>
      </c>
      <c r="AS46">
        <v>6</v>
      </c>
      <c r="AT46">
        <v>7</v>
      </c>
      <c r="AU46">
        <v>7</v>
      </c>
      <c r="AV46">
        <v>8</v>
      </c>
      <c r="AW46">
        <v>8</v>
      </c>
      <c r="AX46">
        <v>9</v>
      </c>
      <c r="AY46">
        <v>9</v>
      </c>
      <c r="AZ46" s="86">
        <f>ROUNDUP(AZ22,0)</f>
        <v>10</v>
      </c>
      <c r="BA46" s="86">
        <f>ROUNDUP(BA22,0)</f>
        <v>0</v>
      </c>
      <c r="BB46" s="86">
        <f>ROUNDUP(BB22,0)</f>
        <v>0</v>
      </c>
      <c r="BI46" s="66">
        <f>IF('Liste Armée'!E57="SCh",1,0)</f>
        <v>0</v>
      </c>
      <c r="BJ46" s="66" t="str">
        <f>IF(OR('Liste Armée'!$E57="HF",'Liste Armée'!$E57="MF",'Liste Armée'!$E57="LF"),"infanterie",IF(OR('Liste Armée'!$E57="Kn",'Liste Armée'!$E57="Ct",'Liste Armée'!$E57="Cv",'Liste Armée'!$E57="LH",'Liste Armée'!$E57="LCh",'Liste Armée'!$E57="HCh",'Liste Armée'!$E57="SCh",'Liste Armée'!$E57="EL"),"montes",IF(OR('Liste Armée'!$E57="BWG"),"BWG","special")))</f>
        <v>special</v>
      </c>
      <c r="BK46" s="14">
        <f ca="1">VLOOKUP('Liste Armée'!$E57&amp;" "&amp;'Liste Armée'!$F57,Table_budget,MATCH('Liste Armée'!$G57,Colonnes_table_budget,FALSE),FALSE)+IF('Liste Armée'!$H57=VLOOKUP("Drilled",Zone_Traduction,ref_langue,FALSE),VLOOKUP('Liste Armée'!$E57&amp;" "&amp;'Liste Armée'!$F57,Table_budget,MATCH(VLOOKUP("Drilled",Zone_Traduction,ref_langue,FALSE),Colonnes_table_budget,FALSE),FALSE),0)+IF(ISERROR(VLOOKUP(BJ46&amp;" "&amp;$G46,Table_armes_tir,2,FALSE)),0,VLOOKUP(BJ46&amp;" "&amp;$G46,Table_armes_tir,2,FALSE))+IF(ISERROR(VLOOKUP(BJ46&amp;" "&amp;$I46,Table_armes_melee,2,FALSE)),0,VLOOKUP(BJ46&amp;" "&amp;$I46,Table_armes_melee,2,FALSE))+IF(ISERROR(VLOOKUP($J46,Table_special,2,FALSE)),0,VLOOKUP($J46,Table_special,2,FALSE))</f>
        <v>0</v>
      </c>
      <c r="BL46" s="14">
        <f>'Liste Armée'!$M57*'Liste Armée'!$L57</f>
        <v>0</v>
      </c>
      <c r="BM46" s="9"/>
      <c r="BN46" s="14">
        <f>IF(OR('Liste Armée'!$E57="CV",'Liste Armée'!$E57="LH",'Liste Armée'!$E57="LCH"),'Liste Armée'!$L57,0)</f>
        <v>0</v>
      </c>
    </row>
    <row r="47" spans="10:66" ht="12.75" customHeight="1">
      <c r="J47" s="160" t="s">
        <v>505</v>
      </c>
      <c r="K47" s="88">
        <v>1</v>
      </c>
      <c r="M47" s="156">
        <v>27</v>
      </c>
      <c r="N47" s="158" t="s">
        <v>840</v>
      </c>
      <c r="AF47" s="71">
        <v>21</v>
      </c>
      <c r="AG47">
        <v>1</v>
      </c>
      <c r="AH47">
        <v>1</v>
      </c>
      <c r="AI47">
        <v>1</v>
      </c>
      <c r="AJ47">
        <v>2</v>
      </c>
      <c r="AK47">
        <v>2</v>
      </c>
      <c r="AL47">
        <v>3</v>
      </c>
      <c r="AM47">
        <v>3</v>
      </c>
      <c r="AN47">
        <v>3</v>
      </c>
      <c r="AO47">
        <v>4</v>
      </c>
      <c r="AP47">
        <v>4</v>
      </c>
      <c r="AQ47">
        <v>5</v>
      </c>
      <c r="AR47">
        <v>5</v>
      </c>
      <c r="AS47">
        <v>6</v>
      </c>
      <c r="AT47">
        <v>6</v>
      </c>
      <c r="AU47">
        <v>7</v>
      </c>
      <c r="AV47">
        <v>7</v>
      </c>
      <c r="AW47">
        <v>8</v>
      </c>
      <c r="AX47">
        <v>8</v>
      </c>
      <c r="AY47">
        <v>9</v>
      </c>
      <c r="AZ47">
        <v>9</v>
      </c>
      <c r="BA47" s="86">
        <f>ROUNDUP(BA23,0)</f>
        <v>10</v>
      </c>
      <c r="BB47" s="86">
        <f>ROUNDUP(BB23,0)</f>
        <v>0</v>
      </c>
      <c r="BI47" s="66">
        <f>IF('Liste Armée'!E58="SCh",1,0)</f>
        <v>0</v>
      </c>
      <c r="BJ47" s="66" t="str">
        <f>IF(OR('Liste Armée'!$E58="HF",'Liste Armée'!$E58="MF",'Liste Armée'!$E58="LF"),"infanterie",IF(OR('Liste Armée'!$E58="Kn",'Liste Armée'!$E58="Ct",'Liste Armée'!$E58="Cv",'Liste Armée'!$E58="LH",'Liste Armée'!$E58="LCh",'Liste Armée'!$E58="HCh",'Liste Armée'!$E58="SCh",'Liste Armée'!$E58="EL"),"montes",IF(OR('Liste Armée'!$E58="BWG"),"BWG","special")))</f>
        <v>special</v>
      </c>
      <c r="BK47" s="14">
        <f ca="1">VLOOKUP('Liste Armée'!$E58&amp;" "&amp;'Liste Armée'!$F58,Table_budget,MATCH('Liste Armée'!$G58,Colonnes_table_budget,FALSE),FALSE)+IF('Liste Armée'!$H58=VLOOKUP("Drilled",Zone_Traduction,ref_langue,FALSE),VLOOKUP('Liste Armée'!$E58&amp;" "&amp;'Liste Armée'!$F58,Table_budget,MATCH(VLOOKUP("Drilled",Zone_Traduction,ref_langue,FALSE),Colonnes_table_budget,FALSE),FALSE),0)+IF(ISERROR(VLOOKUP(BJ47&amp;" "&amp;$G47,Table_armes_tir,2,FALSE)),0,VLOOKUP(BJ47&amp;" "&amp;$G47,Table_armes_tir,2,FALSE))+IF(ISERROR(VLOOKUP(BJ47&amp;" "&amp;$I47,Table_armes_melee,2,FALSE)),0,VLOOKUP(BJ47&amp;" "&amp;$I47,Table_armes_melee,2,FALSE))+IF(ISERROR(VLOOKUP($J47,Table_special,2,FALSE)),0,VLOOKUP($J47,Table_special,2,FALSE))</f>
        <v>0</v>
      </c>
      <c r="BL47" s="14">
        <f>'Liste Armée'!$M58*'Liste Armée'!$L58</f>
        <v>0</v>
      </c>
      <c r="BM47" s="9"/>
      <c r="BN47" s="14">
        <f>IF(OR('Liste Armée'!$E58="CV",'Liste Armée'!$E58="LH",'Liste Armée'!$E58="LCH"),'Liste Armée'!$L58,0)</f>
        <v>0</v>
      </c>
    </row>
    <row r="48" spans="10:66" ht="12.75" customHeight="1">
      <c r="J48" s="160" t="s">
        <v>841</v>
      </c>
      <c r="K48" s="88">
        <v>2</v>
      </c>
      <c r="M48" s="146">
        <v>28</v>
      </c>
      <c r="N48" s="158" t="s">
        <v>842</v>
      </c>
      <c r="AE48" s="14" t="s">
        <v>843</v>
      </c>
      <c r="AF48" s="150" t="s">
        <v>844</v>
      </c>
      <c r="AG48">
        <v>1</v>
      </c>
      <c r="AH48">
        <v>1</v>
      </c>
      <c r="AI48">
        <v>1</v>
      </c>
      <c r="AJ48">
        <v>2</v>
      </c>
      <c r="AK48">
        <v>2</v>
      </c>
      <c r="AL48">
        <v>2</v>
      </c>
      <c r="AM48">
        <v>3</v>
      </c>
      <c r="AN48">
        <v>3</v>
      </c>
      <c r="AO48">
        <v>4</v>
      </c>
      <c r="AP48">
        <v>4</v>
      </c>
      <c r="AQ48">
        <v>5</v>
      </c>
      <c r="AR48">
        <v>5</v>
      </c>
      <c r="AS48">
        <v>6</v>
      </c>
      <c r="AT48">
        <v>6</v>
      </c>
      <c r="AU48">
        <v>6</v>
      </c>
      <c r="AV48">
        <v>7</v>
      </c>
      <c r="AW48">
        <v>7</v>
      </c>
      <c r="AX48">
        <v>8</v>
      </c>
      <c r="AY48">
        <v>8</v>
      </c>
      <c r="AZ48">
        <v>9</v>
      </c>
      <c r="BA48">
        <v>9</v>
      </c>
      <c r="BB48" s="86">
        <f>ROUNDUP(BB24,0)</f>
        <v>10</v>
      </c>
      <c r="BC48" s="86">
        <f>ROUNDUP(BC24,0)</f>
        <v>0</v>
      </c>
      <c r="BI48" s="66">
        <f>IF('Liste Armée'!E59="SCh",1,0)</f>
        <v>0</v>
      </c>
      <c r="BJ48" s="66" t="str">
        <f>IF(OR('Liste Armée'!$E59="HF",'Liste Armée'!$E59="MF",'Liste Armée'!$E59="LF"),"infanterie",IF(OR('Liste Armée'!$E59="Kn",'Liste Armée'!$E59="Ct",'Liste Armée'!$E59="Cv",'Liste Armée'!$E59="LH",'Liste Armée'!$E59="LCh",'Liste Armée'!$E59="HCh",'Liste Armée'!$E59="SCh",'Liste Armée'!$E59="EL"),"montes",IF(OR('Liste Armée'!$E59="BWG"),"BWG","special")))</f>
        <v>special</v>
      </c>
      <c r="BK48" s="14">
        <f ca="1">VLOOKUP('Liste Armée'!$E59&amp;" "&amp;'Liste Armée'!$F59,Table_budget,MATCH('Liste Armée'!$G59,Colonnes_table_budget,FALSE),FALSE)+IF('Liste Armée'!$H59=VLOOKUP("Drilled",Zone_Traduction,ref_langue,FALSE),VLOOKUP('Liste Armée'!$E59&amp;" "&amp;'Liste Armée'!$F59,Table_budget,MATCH(VLOOKUP("Drilled",Zone_Traduction,ref_langue,FALSE),Colonnes_table_budget,FALSE),FALSE),0)+IF(ISERROR(VLOOKUP(BJ48&amp;" "&amp;$G48,Table_armes_tir,2,FALSE)),0,VLOOKUP(BJ48&amp;" "&amp;$G48,Table_armes_tir,2,FALSE))+IF(ISERROR(VLOOKUP(BJ48&amp;" "&amp;$I48,Table_armes_melee,2,FALSE)),0,VLOOKUP(BJ48&amp;" "&amp;$I48,Table_armes_melee,2,FALSE))+IF(ISERROR(VLOOKUP($J48,Table_special,2,FALSE)),0,VLOOKUP($J48,Table_special,2,FALSE))</f>
        <v>0</v>
      </c>
      <c r="BL48" s="14">
        <f>'Liste Armée'!$M59*'Liste Armée'!$L59</f>
        <v>0</v>
      </c>
      <c r="BM48" s="9"/>
      <c r="BN48" s="14">
        <f>IF(OR('Liste Armée'!$E59="CV",'Liste Armée'!$E59="LH",'Liste Armée'!$E59="LCH"),'Liste Armée'!$L59,0)</f>
        <v>0</v>
      </c>
    </row>
    <row r="49" spans="10:66" ht="12.75" customHeight="1">
      <c r="J49" s="161" t="s">
        <v>506</v>
      </c>
      <c r="K49" s="145">
        <v>0</v>
      </c>
      <c r="M49" s="156">
        <v>29</v>
      </c>
      <c r="N49" s="158" t="s">
        <v>845</v>
      </c>
      <c r="AE49" s="80">
        <v>-1</v>
      </c>
      <c r="AF49" s="162" t="s">
        <v>507</v>
      </c>
      <c r="BI49" s="66">
        <f>IF('Liste Armée'!E60="SCh",1,0)</f>
        <v>0</v>
      </c>
      <c r="BJ49" s="66" t="str">
        <f>IF(OR('Liste Armée'!$E60="HF",'Liste Armée'!$E60="MF",'Liste Armée'!$E60="LF"),"infanterie",IF(OR('Liste Armée'!$E60="Kn",'Liste Armée'!$E60="Ct",'Liste Armée'!$E60="Cv",'Liste Armée'!$E60="LH",'Liste Armée'!$E60="LCh",'Liste Armée'!$E60="HCh",'Liste Armée'!$E60="SCh",'Liste Armée'!$E60="EL"),"montes",IF(OR('Liste Armée'!$E60="BWG"),"BWG","special")))</f>
        <v>special</v>
      </c>
      <c r="BK49" s="14">
        <f ca="1">VLOOKUP('Liste Armée'!$E60&amp;" "&amp;'Liste Armée'!$F60,Table_budget,MATCH('Liste Armée'!$G60,Colonnes_table_budget,FALSE),FALSE)+IF('Liste Armée'!$H60=VLOOKUP("Drilled",Zone_Traduction,ref_langue,FALSE),VLOOKUP('Liste Armée'!$E60&amp;" "&amp;'Liste Armée'!$F60,Table_budget,MATCH(VLOOKUP("Drilled",Zone_Traduction,ref_langue,FALSE),Colonnes_table_budget,FALSE),FALSE),0)+IF(ISERROR(VLOOKUP(BJ49&amp;" "&amp;$G49,Table_armes_tir,2,FALSE)),0,VLOOKUP(BJ49&amp;" "&amp;$G49,Table_armes_tir,2,FALSE))+IF(ISERROR(VLOOKUP(BJ49&amp;" "&amp;$I49,Table_armes_melee,2,FALSE)),0,VLOOKUP(BJ49&amp;" "&amp;$I49,Table_armes_melee,2,FALSE))+IF(ISERROR(VLOOKUP($J49,Table_special,2,FALSE)),0,VLOOKUP($J49,Table_special,2,FALSE))</f>
        <v>0</v>
      </c>
      <c r="BL49" s="14">
        <f>'Liste Armée'!$M60*'Liste Armée'!$L60</f>
        <v>0</v>
      </c>
      <c r="BM49" s="9"/>
      <c r="BN49" s="14">
        <f>IF(OR('Liste Armée'!$E60="CV",'Liste Armée'!$E60="LH",'Liste Armée'!$E60="LCH"),'Liste Armée'!$L60,0)</f>
        <v>0</v>
      </c>
    </row>
    <row r="50" spans="13:66" ht="12.75" customHeight="1">
      <c r="M50" s="146">
        <v>30</v>
      </c>
      <c r="N50" s="158" t="s">
        <v>846</v>
      </c>
      <c r="AE50" s="128">
        <v>0</v>
      </c>
      <c r="AF50" s="163" t="s">
        <v>507</v>
      </c>
      <c r="AG50">
        <v>1</v>
      </c>
      <c r="AH50">
        <v>2</v>
      </c>
      <c r="AI50">
        <v>3</v>
      </c>
      <c r="AJ50">
        <v>4</v>
      </c>
      <c r="AK50">
        <v>5</v>
      </c>
      <c r="AL50">
        <v>6</v>
      </c>
      <c r="AM50">
        <v>7</v>
      </c>
      <c r="AN50">
        <v>8</v>
      </c>
      <c r="AO50">
        <v>9</v>
      </c>
      <c r="AP50">
        <v>10</v>
      </c>
      <c r="AQ50">
        <v>11</v>
      </c>
      <c r="AR50">
        <v>12</v>
      </c>
      <c r="AS50">
        <v>13</v>
      </c>
      <c r="AT50">
        <v>14</v>
      </c>
      <c r="AU50">
        <v>15</v>
      </c>
      <c r="AV50">
        <v>16</v>
      </c>
      <c r="AW50">
        <v>17</v>
      </c>
      <c r="AX50">
        <v>18</v>
      </c>
      <c r="AY50">
        <v>19</v>
      </c>
      <c r="AZ50">
        <v>20</v>
      </c>
      <c r="BA50">
        <v>21</v>
      </c>
      <c r="BB50">
        <v>22</v>
      </c>
      <c r="BC50">
        <v>23</v>
      </c>
      <c r="BI50" s="66">
        <f>IF('Liste Armée'!E61="SCh",1,0)</f>
        <v>0</v>
      </c>
      <c r="BJ50" s="66" t="str">
        <f>IF(OR('Liste Armée'!$E61="HF",'Liste Armée'!$E61="MF",'Liste Armée'!$E61="LF"),"infanterie",IF(OR('Liste Armée'!$E61="Kn",'Liste Armée'!$E61="Ct",'Liste Armée'!$E61="Cv",'Liste Armée'!$E61="LH",'Liste Armée'!$E61="LCh",'Liste Armée'!$E61="HCh",'Liste Armée'!$E61="SCh",'Liste Armée'!$E61="EL"),"montes",IF(OR('Liste Armée'!$E61="BWG"),"BWG","special")))</f>
        <v>special</v>
      </c>
      <c r="BK50" s="14">
        <f ca="1">VLOOKUP('Liste Armée'!$E61&amp;" "&amp;'Liste Armée'!$F61,Table_budget,MATCH('Liste Armée'!$G61,Colonnes_table_budget,FALSE),FALSE)+IF('Liste Armée'!$H61=VLOOKUP("Drilled",Zone_Traduction,ref_langue,FALSE),VLOOKUP('Liste Armée'!$E61&amp;" "&amp;'Liste Armée'!$F61,Table_budget,MATCH(VLOOKUP("Drilled",Zone_Traduction,ref_langue,FALSE),Colonnes_table_budget,FALSE),FALSE),0)+IF(ISERROR(VLOOKUP(BJ50&amp;" "&amp;$G50,Table_armes_tir,2,FALSE)),0,VLOOKUP(BJ50&amp;" "&amp;$G50,Table_armes_tir,2,FALSE))+IF(ISERROR(VLOOKUP(BJ50&amp;" "&amp;$I50,Table_armes_melee,2,FALSE)),0,VLOOKUP(BJ50&amp;" "&amp;$I50,Table_armes_melee,2,FALSE))+IF(ISERROR(VLOOKUP($J50,Table_special,2,FALSE)),0,VLOOKUP($J50,Table_special,2,FALSE))</f>
        <v>0</v>
      </c>
      <c r="BL50" s="14">
        <f>'Liste Armée'!$M61*'Liste Armée'!$L61</f>
        <v>0</v>
      </c>
      <c r="BM50" s="9"/>
      <c r="BN50" s="14">
        <f>IF(OR('Liste Armée'!$E61="CV",'Liste Armée'!$E61="LH",'Liste Armée'!$E61="LCH"),'Liste Armée'!$L61,0)</f>
        <v>0</v>
      </c>
    </row>
    <row r="51" spans="13:66" ht="12.75" customHeight="1">
      <c r="M51" s="156">
        <v>31</v>
      </c>
      <c r="N51" s="158" t="s">
        <v>847</v>
      </c>
      <c r="AE51" s="128">
        <v>1</v>
      </c>
      <c r="AF51" s="163" t="s">
        <v>507</v>
      </c>
      <c r="AG51" s="14" t="s">
        <v>507</v>
      </c>
      <c r="BI51" s="66">
        <f>IF('Liste Armée'!E62="SCh",1,0)</f>
        <v>0</v>
      </c>
      <c r="BJ51" s="66" t="str">
        <f>IF(OR('Liste Armée'!$E62="HF",'Liste Armée'!$E62="MF",'Liste Armée'!$E62="LF"),"infanterie",IF(OR('Liste Armée'!$E62="Kn",'Liste Armée'!$E62="Ct",'Liste Armée'!$E62="Cv",'Liste Armée'!$E62="LH",'Liste Armée'!$E62="LCh",'Liste Armée'!$E62="HCh",'Liste Armée'!$E62="SCh",'Liste Armée'!$E62="EL"),"montes",IF(OR('Liste Armée'!$E62="BWG"),"BWG","special")))</f>
        <v>special</v>
      </c>
      <c r="BK51" s="14">
        <f ca="1">VLOOKUP('Liste Armée'!$E62&amp;" "&amp;'Liste Armée'!$F62,Table_budget,MATCH('Liste Armée'!$G62,Colonnes_table_budget,FALSE),FALSE)+IF('Liste Armée'!$H62=VLOOKUP("Drilled",Zone_Traduction,ref_langue,FALSE),VLOOKUP('Liste Armée'!$E62&amp;" "&amp;'Liste Armée'!$F62,Table_budget,MATCH(VLOOKUP("Drilled",Zone_Traduction,ref_langue,FALSE),Colonnes_table_budget,FALSE),FALSE),0)+IF(ISERROR(VLOOKUP(BJ51&amp;" "&amp;$G51,Table_armes_tir,2,FALSE)),0,VLOOKUP(BJ51&amp;" "&amp;$G51,Table_armes_tir,2,FALSE))+IF(ISERROR(VLOOKUP(BJ51&amp;" "&amp;$I51,Table_armes_melee,2,FALSE)),0,VLOOKUP(BJ51&amp;" "&amp;$I51,Table_armes_melee,2,FALSE))+IF(ISERROR(VLOOKUP($J51,Table_special,2,FALSE)),0,VLOOKUP($J51,Table_special,2,FALSE))</f>
        <v>0</v>
      </c>
      <c r="BL51" s="14">
        <f>'Liste Armée'!$M62*'Liste Armée'!$L62</f>
        <v>0</v>
      </c>
      <c r="BM51" s="9"/>
      <c r="BN51" s="14">
        <f>IF(OR('Liste Armée'!$E62="CV",'Liste Armée'!$E62="LH",'Liste Armée'!$E62="LCH"),'Liste Armée'!$L62,0)</f>
        <v>0</v>
      </c>
    </row>
    <row r="52" spans="2:33" ht="12.75" customHeight="1">
      <c r="B52" s="164" t="str">
        <f>IF(OR('Liste Armée'!E23="HF",'Liste Armée'!E23="MF",'Liste Armée'!E23="LF"),"infanterie",IF(OR('Liste Armée'!E23="KN",'Liste Armée'!E23="CAT",'Liste Armée'!E23="CV",'Liste Armée'!E23="LH",'Liste Armée'!E23="LCH",'Liste Armée'!E23="HCH",'Liste Armée'!E23="SCH",'Liste Armée'!E23="EL"),"montes",IF(OR('Liste Armée'!E23="WWG",Données!H35="WGA"),"WWG","Special")))</f>
        <v>Special</v>
      </c>
      <c r="C52" s="86">
        <f ca="1">VLOOKUP('Liste Armée'!E24&amp;" "&amp;'Liste Armée'!F24,Table_budget,MATCH('Liste Armée'!G24,Colonnes_table_budget,FALSE),FALSE)+IF('Liste Armée'!H24=VLOOKUP("Drilled",Zone_Traduction,ref_langue,FALSE),VLOOKUP('Liste Armée'!E24&amp;" "&amp;'Liste Armée'!F24,Table_budget,MATCH(VLOOKUP("Drilled",Zone_Traduction,ref_langue,FALSE),Colonnes_table_budget,FALSE),FALSE),0)+IF(ISERROR(VLOOKUP(B52&amp;" "&amp;'Liste Armée'!I24,Table_armes_tir,2,FALSE)),0,VLOOKUP(B52&amp;" "&amp;'Liste Armée'!I24,Table_armes_tir,2,FALSE))+IF(ISERROR(VLOOKUP(B52&amp;" "&amp;'Liste Armée'!#REF!,Table_armes_impact,2,FALSE)),0,VLOOKUP(B52&amp;" "&amp;'Liste Armée'!#REF!,Table_armes_impact,2,FALSE))+IF(ISERROR(VLOOKUP(B52&amp;" "&amp;'Liste Armée'!J24,Table_armes_melee,2,FALSE)),0,VLOOKUP(B52&amp;" "&amp;'Liste Armée'!J24,Table_armes_melee,2,FALSE))+IF(ISERROR(VLOOKUP('Liste Armée'!K24,Table_special,2,FALSE)),0,VLOOKUP('Liste Armée'!K24,Table_special,2,FALSE))</f>
        <v>5</v>
      </c>
      <c r="J52" s="70" t="s">
        <v>848</v>
      </c>
      <c r="K52" s="165"/>
      <c r="L52" s="165"/>
      <c r="M52" s="146">
        <v>32</v>
      </c>
      <c r="N52" s="166" t="s">
        <v>849</v>
      </c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28">
        <v>2</v>
      </c>
      <c r="AF52" s="167" t="str">
        <f aca="true" t="shared" si="10" ref="AF52:AF72">CONCATENATE(AG52,AH52,AI52,AJ52,AK52,AL52,AM52,AN52,AO52,AP52,AQ52,AR52,AS52,AT52,AU52,AV52,AW52,AX52,AY52,AZ52,BA52,BB52,BC52)</f>
        <v>-</v>
      </c>
      <c r="AG52" t="str">
        <f>CONCATENATE(AG28,$AF$28)</f>
        <v>-</v>
      </c>
    </row>
    <row r="53" spans="2:35" ht="12.75" customHeight="1">
      <c r="B53" s="164" t="str">
        <f>IF(OR('Liste Armée'!E24="HF",'Liste Armée'!E24="MF",'Liste Armée'!E24="LF"),"infanterie",IF(OR('Liste Armée'!E24="KN",'Liste Armée'!E24="CAT",'Liste Armée'!E24="CV",'Liste Armée'!E24="LH",'Liste Armée'!E24="LCH",'Liste Armée'!E24="HCH",'Liste Armée'!E24="SCH",'Liste Armée'!E24="EL"),"montes",IF(OR('Liste Armée'!E24="WWG",Données!H36="WGA"),"WWG","Special")))</f>
        <v>montes</v>
      </c>
      <c r="H53" s="14" t="s">
        <v>507</v>
      </c>
      <c r="I53" s="70"/>
      <c r="K53" s="168"/>
      <c r="L53" s="168"/>
      <c r="M53" s="156">
        <v>33</v>
      </c>
      <c r="N53" s="169" t="s">
        <v>850</v>
      </c>
      <c r="O53" s="168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28">
        <v>3</v>
      </c>
      <c r="AF53" s="163" t="s">
        <v>507</v>
      </c>
      <c r="AG53" t="str">
        <f aca="true" t="shared" si="11" ref="AG53:AV73">CONCATENATE(AG29,$AF$28)</f>
        <v>-</v>
      </c>
      <c r="AH53" t="str">
        <f t="shared" si="11"/>
        <v>-</v>
      </c>
      <c r="AI53">
        <v>10</v>
      </c>
    </row>
    <row r="54" spans="2:36" ht="12.75" customHeight="1">
      <c r="B54" s="164" t="str">
        <f>IF(OR('Liste Armée'!E25="HF",'Liste Armée'!E25="MF",'Liste Armée'!E25="LF"),"infanterie",IF(OR('Liste Armée'!E25="KN",'Liste Armée'!E25="CAT",'Liste Armée'!E25="CV",'Liste Armée'!E25="LH",'Liste Armée'!E25="LCH",'Liste Armée'!E25="HCH",'Liste Armée'!E25="SCH",'Liste Armée'!E25="EL"),"montes",IF(OR('Liste Armée'!E25="WWG",Données!H37="WGA"),"WWG","Special")))</f>
        <v>montes</v>
      </c>
      <c r="I54" s="70"/>
      <c r="J54" s="69">
        <f>BN5+BM7</f>
        <v>13</v>
      </c>
      <c r="K54" s="168"/>
      <c r="L54" s="168"/>
      <c r="M54" s="146">
        <v>34</v>
      </c>
      <c r="N54" s="169" t="s">
        <v>851</v>
      </c>
      <c r="O54" s="168"/>
      <c r="P54" s="168"/>
      <c r="Q54" s="169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28">
        <v>4</v>
      </c>
      <c r="AF54" s="163" t="s">
        <v>507</v>
      </c>
      <c r="AG54" t="str">
        <f t="shared" si="11"/>
        <v>-</v>
      </c>
      <c r="AH54" t="str">
        <f t="shared" si="11"/>
        <v>-</v>
      </c>
      <c r="AI54" t="str">
        <f t="shared" si="11"/>
        <v>-</v>
      </c>
      <c r="AJ54">
        <v>10</v>
      </c>
    </row>
    <row r="55" spans="2:37" ht="12.75" customHeight="1">
      <c r="B55" s="164" t="str">
        <f>IF(OR('Liste Armée'!E26="HF",'Liste Armée'!E26="MF",'Liste Armée'!E26="LF"),"infanterie",IF(OR('Liste Armée'!E26="KN",'Liste Armée'!E26="CAT",'Liste Armée'!E26="CV",'Liste Armée'!E26="LH",'Liste Armée'!E26="LCH",'Liste Armée'!E26="HCH",'Liste Armée'!E26="SCH",'Liste Armée'!E26="EL"),"montes",IF(OR('Liste Armée'!E26="WWG",Données!H38="WGA"),"WWG","Special")))</f>
        <v>montes</v>
      </c>
      <c r="I55" s="70"/>
      <c r="K55" s="168"/>
      <c r="L55" s="168"/>
      <c r="M55" s="156">
        <v>35</v>
      </c>
      <c r="N55" s="169" t="s">
        <v>852</v>
      </c>
      <c r="O55" s="168"/>
      <c r="P55" s="168"/>
      <c r="Q55" s="168"/>
      <c r="R55" s="169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28">
        <v>5</v>
      </c>
      <c r="AF55" s="163" t="s">
        <v>507</v>
      </c>
      <c r="AG55" t="str">
        <f t="shared" si="11"/>
        <v>-</v>
      </c>
      <c r="AH55" t="str">
        <f t="shared" si="11"/>
        <v>-</v>
      </c>
      <c r="AI55" t="str">
        <f t="shared" si="11"/>
        <v>-</v>
      </c>
      <c r="AJ55" t="str">
        <f t="shared" si="11"/>
        <v>-</v>
      </c>
      <c r="AK55">
        <v>10</v>
      </c>
    </row>
    <row r="56" spans="2:38" ht="12.75" customHeight="1">
      <c r="B56" s="164" t="str">
        <f>IF(OR('Liste Armée'!E27="HF",'Liste Armée'!E27="MF",'Liste Armée'!E27="LF"),"infanterie",IF(OR('Liste Armée'!E27="KN",'Liste Armée'!E27="CAT",'Liste Armée'!E27="CV",'Liste Armée'!E27="LH",'Liste Armée'!E27="LCH",'Liste Armée'!E27="HCH",'Liste Armée'!E27="SCH",'Liste Armée'!E27="EL"),"montes",IF(OR('Liste Armée'!E27="WWG",Données!H39="WGA"),"WWG","Special")))</f>
        <v>montes</v>
      </c>
      <c r="I56" s="70"/>
      <c r="K56" s="168"/>
      <c r="L56" s="168"/>
      <c r="M56" s="146">
        <v>36</v>
      </c>
      <c r="N56" s="169" t="s">
        <v>853</v>
      </c>
      <c r="O56" s="168"/>
      <c r="P56" s="168"/>
      <c r="Q56" s="168"/>
      <c r="R56" s="168"/>
      <c r="S56" s="169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28">
        <v>6</v>
      </c>
      <c r="AF56" s="167" t="str">
        <f t="shared" si="10"/>
        <v>2-3-5-6-8-10</v>
      </c>
      <c r="AG56" t="str">
        <f t="shared" si="11"/>
        <v>2-</v>
      </c>
      <c r="AH56" t="str">
        <f t="shared" si="11"/>
        <v>3-</v>
      </c>
      <c r="AI56" t="str">
        <f t="shared" si="11"/>
        <v>5-</v>
      </c>
      <c r="AJ56" t="str">
        <f t="shared" si="11"/>
        <v>6-</v>
      </c>
      <c r="AK56" t="str">
        <f t="shared" si="11"/>
        <v>8-</v>
      </c>
      <c r="AL56">
        <v>10</v>
      </c>
    </row>
    <row r="57" spans="2:39" ht="12.75" customHeight="1">
      <c r="B57" s="164" t="str">
        <f>IF(OR('Liste Armée'!E28="HF",'Liste Armée'!E28="MF",'Liste Armée'!E28="LF"),"infanterie",IF(OR('Liste Armée'!E28="KN",'Liste Armée'!E28="CAT",'Liste Armée'!E28="CV",'Liste Armée'!E28="LH",'Liste Armée'!E28="LCH",'Liste Armée'!E28="HCH",'Liste Armée'!E28="SCH",'Liste Armée'!E28="EL"),"montes",IF(OR('Liste Armée'!E28="WWG",Données!H40="WGA"),"WWG","Special")))</f>
        <v>montes</v>
      </c>
      <c r="I57" s="70"/>
      <c r="K57" s="168"/>
      <c r="L57" s="168"/>
      <c r="M57" s="168"/>
      <c r="N57" s="168"/>
      <c r="O57" s="168"/>
      <c r="P57" s="168"/>
      <c r="Q57" s="168"/>
      <c r="R57" s="168"/>
      <c r="S57" s="168"/>
      <c r="T57" s="169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28">
        <v>7</v>
      </c>
      <c r="AF57" s="167" t="str">
        <f t="shared" si="10"/>
        <v>2-3-4-6-7-8-10</v>
      </c>
      <c r="AG57" t="str">
        <f t="shared" si="11"/>
        <v>2-</v>
      </c>
      <c r="AH57" t="str">
        <f t="shared" si="11"/>
        <v>3-</v>
      </c>
      <c r="AI57" t="str">
        <f t="shared" si="11"/>
        <v>4-</v>
      </c>
      <c r="AJ57" t="str">
        <f t="shared" si="11"/>
        <v>6-</v>
      </c>
      <c r="AK57" t="str">
        <f t="shared" si="11"/>
        <v>7-</v>
      </c>
      <c r="AL57" t="str">
        <f t="shared" si="11"/>
        <v>8-</v>
      </c>
      <c r="AM57">
        <v>10</v>
      </c>
    </row>
    <row r="58" spans="2:40" ht="12.75" customHeight="1">
      <c r="B58" s="164" t="str">
        <f>IF(OR('Liste Armée'!E29="HF",'Liste Armée'!E29="MF",'Liste Armée'!E29="LF"),"infanterie",IF(OR('Liste Armée'!E29="KN",'Liste Armée'!E29="CAT",'Liste Armée'!E29="CV",'Liste Armée'!E29="LH",'Liste Armée'!E29="LCH",'Liste Armée'!E29="HCH",'Liste Armée'!E29="SCH",'Liste Armée'!E29="EL"),"montes",IF(OR('Liste Armée'!E29="WWG",Données!H41="WGA"),"WWG","Special")))</f>
        <v>montes</v>
      </c>
      <c r="I58" s="70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9"/>
      <c r="V58" s="168"/>
      <c r="W58" s="168"/>
      <c r="X58" s="168"/>
      <c r="Y58" s="168"/>
      <c r="Z58" s="168"/>
      <c r="AA58" s="168"/>
      <c r="AB58" s="168"/>
      <c r="AC58" s="168"/>
      <c r="AD58" s="168"/>
      <c r="AE58" s="128">
        <v>8</v>
      </c>
      <c r="AF58" s="167" t="str">
        <f t="shared" si="10"/>
        <v>1-2-4-5-6-7-8-10</v>
      </c>
      <c r="AG58" t="str">
        <f t="shared" si="11"/>
        <v>1-</v>
      </c>
      <c r="AH58" t="str">
        <f t="shared" si="11"/>
        <v>2-</v>
      </c>
      <c r="AI58" t="str">
        <f t="shared" si="11"/>
        <v>4-</v>
      </c>
      <c r="AJ58" t="str">
        <f t="shared" si="11"/>
        <v>5-</v>
      </c>
      <c r="AK58" t="str">
        <f t="shared" si="11"/>
        <v>6-</v>
      </c>
      <c r="AL58" t="str">
        <f t="shared" si="11"/>
        <v>7-</v>
      </c>
      <c r="AM58" t="str">
        <f t="shared" si="11"/>
        <v>8-</v>
      </c>
      <c r="AN58">
        <v>10</v>
      </c>
    </row>
    <row r="59" spans="2:41" ht="12.75" customHeight="1">
      <c r="B59" s="164" t="str">
        <f>IF(OR('Liste Armée'!E30="HF",'Liste Armée'!E30="MF",'Liste Armée'!E30="LF"),"infanterie",IF(OR('Liste Armée'!E30="KN",'Liste Armée'!E30="CAT",'Liste Armée'!E30="CV",'Liste Armée'!E30="LH",'Liste Armée'!E30="LCH",'Liste Armée'!E30="HCH",'Liste Armée'!E30="SCH",'Liste Armée'!E30="EL"),"montes",IF(OR('Liste Armée'!E30="WWG",Données!H42="WGA"),"WWG","Special")))</f>
        <v>montes</v>
      </c>
      <c r="I59" s="70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9"/>
      <c r="W59" s="168"/>
      <c r="X59" s="168"/>
      <c r="Y59" s="168"/>
      <c r="Z59" s="168"/>
      <c r="AA59" s="168"/>
      <c r="AB59" s="168"/>
      <c r="AC59" s="168"/>
      <c r="AD59" s="168"/>
      <c r="AE59" s="128">
        <v>9</v>
      </c>
      <c r="AF59" s="167" t="str">
        <f t="shared" si="10"/>
        <v>1-2-3-4-5-6-7-8-10</v>
      </c>
      <c r="AG59" t="str">
        <f t="shared" si="11"/>
        <v>1-</v>
      </c>
      <c r="AH59" t="str">
        <f t="shared" si="11"/>
        <v>2-</v>
      </c>
      <c r="AI59" t="str">
        <f t="shared" si="11"/>
        <v>3-</v>
      </c>
      <c r="AJ59" t="str">
        <f t="shared" si="11"/>
        <v>4-</v>
      </c>
      <c r="AK59" t="str">
        <f t="shared" si="11"/>
        <v>5-</v>
      </c>
      <c r="AL59" t="str">
        <f t="shared" si="11"/>
        <v>6-</v>
      </c>
      <c r="AM59" t="str">
        <f t="shared" si="11"/>
        <v>7-</v>
      </c>
      <c r="AN59" t="str">
        <f t="shared" si="11"/>
        <v>8-</v>
      </c>
      <c r="AO59">
        <v>10</v>
      </c>
    </row>
    <row r="60" spans="2:42" ht="12.75" customHeight="1">
      <c r="B60" s="164" t="str">
        <f>IF(OR('Liste Armée'!E31="HF",'Liste Armée'!E31="MF",'Liste Armée'!E31="LF"),"infanterie",IF(OR('Liste Armée'!E31="KN",'Liste Armée'!E31="CAT",'Liste Armée'!E31="CV",'Liste Armée'!E31="LH",'Liste Armée'!E31="LCH",'Liste Armée'!E31="HCH",'Liste Armée'!E31="SCH",'Liste Armée'!E31="EL"),"montes",IF(OR('Liste Armée'!E31="WWG",Données!H43="WGA"),"WWG","Special")))</f>
        <v>Special</v>
      </c>
      <c r="I60" s="70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9"/>
      <c r="X60" s="168"/>
      <c r="Y60" s="168"/>
      <c r="Z60" s="168"/>
      <c r="AA60" s="168"/>
      <c r="AB60" s="168"/>
      <c r="AC60" s="168"/>
      <c r="AD60" s="168"/>
      <c r="AE60" s="128">
        <v>10</v>
      </c>
      <c r="AF60" s="167" t="str">
        <f t="shared" si="10"/>
        <v>1-2-3-4-5-6-7-8-9-10</v>
      </c>
      <c r="AG60" t="str">
        <f t="shared" si="11"/>
        <v>1-</v>
      </c>
      <c r="AH60" t="str">
        <f t="shared" si="11"/>
        <v>2-</v>
      </c>
      <c r="AI60" t="str">
        <f t="shared" si="11"/>
        <v>3-</v>
      </c>
      <c r="AJ60" t="str">
        <f t="shared" si="11"/>
        <v>4-</v>
      </c>
      <c r="AK60" t="str">
        <f t="shared" si="11"/>
        <v>5-</v>
      </c>
      <c r="AL60" t="str">
        <f t="shared" si="11"/>
        <v>6-</v>
      </c>
      <c r="AM60" t="str">
        <f t="shared" si="11"/>
        <v>7-</v>
      </c>
      <c r="AN60" t="str">
        <f t="shared" si="11"/>
        <v>8-</v>
      </c>
      <c r="AO60" t="str">
        <f t="shared" si="11"/>
        <v>9-</v>
      </c>
      <c r="AP60">
        <v>10</v>
      </c>
    </row>
    <row r="61" spans="2:43" ht="12.75" customHeight="1">
      <c r="B61" s="164" t="str">
        <f>IF(OR('Liste Armée'!E32="HF",'Liste Armée'!E32="MF",'Liste Armée'!E32="LF"),"infanterie",IF(OR('Liste Armée'!E32="KN",'Liste Armée'!E32="CAT",'Liste Armée'!E32="CV",'Liste Armée'!E32="LH",'Liste Armée'!E32="LCH",'Liste Armée'!E32="HCH",'Liste Armée'!E32="SCH",'Liste Armée'!E32="EL"),"montes",IF(OR('Liste Armée'!E32="WWG",Données!H44="WGA"),"WWG","Special")))</f>
        <v>Special</v>
      </c>
      <c r="I61" s="70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9"/>
      <c r="Y61" s="168"/>
      <c r="Z61" s="168"/>
      <c r="AA61" s="168"/>
      <c r="AB61" s="168"/>
      <c r="AC61" s="168"/>
      <c r="AD61" s="168"/>
      <c r="AE61" s="128">
        <v>11</v>
      </c>
      <c r="AF61" s="167" t="str">
        <f t="shared" si="10"/>
        <v>1-2-3-3-4-5-6-7-8-9-10</v>
      </c>
      <c r="AG61" t="str">
        <f t="shared" si="11"/>
        <v>1-</v>
      </c>
      <c r="AH61" t="str">
        <f t="shared" si="11"/>
        <v>2-</v>
      </c>
      <c r="AI61" t="str">
        <f t="shared" si="11"/>
        <v>3-</v>
      </c>
      <c r="AJ61" t="str">
        <f t="shared" si="11"/>
        <v>3-</v>
      </c>
      <c r="AK61" t="str">
        <f t="shared" si="11"/>
        <v>4-</v>
      </c>
      <c r="AL61" t="str">
        <f t="shared" si="11"/>
        <v>5-</v>
      </c>
      <c r="AM61" t="str">
        <f t="shared" si="11"/>
        <v>6-</v>
      </c>
      <c r="AN61" t="str">
        <f t="shared" si="11"/>
        <v>7-</v>
      </c>
      <c r="AO61" t="str">
        <f t="shared" si="11"/>
        <v>8-</v>
      </c>
      <c r="AP61" t="str">
        <f t="shared" si="11"/>
        <v>9-</v>
      </c>
      <c r="AQ61">
        <v>10</v>
      </c>
    </row>
    <row r="62" spans="2:44" ht="27" customHeight="1">
      <c r="B62" s="164" t="str">
        <f>IF(OR('Liste Armée'!E33="HF",'Liste Armée'!E33="MF",'Liste Armée'!E33="LF"),"infanterie",IF(OR('Liste Armée'!E33="KN",'Liste Armée'!E33="CAT",'Liste Armée'!E33="CV",'Liste Armée'!E33="LH",'Liste Armée'!E33="LCH",'Liste Armée'!E33="HCH",'Liste Armée'!E33="SCH",'Liste Armée'!E33="EL"),"montes",IF(OR('Liste Armée'!E33="WWG",Données!H45="WGA"),"WWG","Special")))</f>
        <v>Special</v>
      </c>
      <c r="I62" s="70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9"/>
      <c r="Z62" s="168"/>
      <c r="AA62" s="168"/>
      <c r="AB62" s="168"/>
      <c r="AC62" s="168"/>
      <c r="AD62" s="168"/>
      <c r="AE62" s="128">
        <v>12</v>
      </c>
      <c r="AF62" s="167" t="str">
        <f t="shared" si="10"/>
        <v>1-2-2-3-4-5-6-6-7-8-9-10</v>
      </c>
      <c r="AG62" t="str">
        <f t="shared" si="11"/>
        <v>1-</v>
      </c>
      <c r="AH62" t="str">
        <f t="shared" si="11"/>
        <v>2-</v>
      </c>
      <c r="AI62" t="str">
        <f t="shared" si="11"/>
        <v>2-</v>
      </c>
      <c r="AJ62" t="str">
        <f t="shared" si="11"/>
        <v>3-</v>
      </c>
      <c r="AK62" t="str">
        <f t="shared" si="11"/>
        <v>4-</v>
      </c>
      <c r="AL62" t="str">
        <f t="shared" si="11"/>
        <v>5-</v>
      </c>
      <c r="AM62" t="str">
        <f t="shared" si="11"/>
        <v>6-</v>
      </c>
      <c r="AN62" t="str">
        <f t="shared" si="11"/>
        <v>6-</v>
      </c>
      <c r="AO62" t="str">
        <f t="shared" si="11"/>
        <v>7-</v>
      </c>
      <c r="AP62" t="str">
        <f t="shared" si="11"/>
        <v>8-</v>
      </c>
      <c r="AQ62" t="str">
        <f t="shared" si="11"/>
        <v>9-</v>
      </c>
      <c r="AR62">
        <v>10</v>
      </c>
    </row>
    <row r="63" spans="2:45" ht="24.75" customHeight="1">
      <c r="B63" s="164" t="str">
        <f>IF(OR('Liste Armée'!E34="HF",'Liste Armée'!E34="MF",'Liste Armée'!E34="LF"),"infanterie",IF(OR('Liste Armée'!E34="KN",'Liste Armée'!E34="CAT",'Liste Armée'!E34="CV",'Liste Armée'!E34="LH",'Liste Armée'!E34="LCH",'Liste Armée'!E34="HCH",'Liste Armée'!E34="SCH",'Liste Armée'!E34="EL"),"montes",IF(OR('Liste Armée'!E34="WWG",Données!H46="WGA"),"WWG","Special")))</f>
        <v>Special</v>
      </c>
      <c r="I63" s="70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9"/>
      <c r="AA63" s="168"/>
      <c r="AB63" s="168"/>
      <c r="AC63" s="168"/>
      <c r="AD63" s="168"/>
      <c r="AE63" s="128">
        <v>13</v>
      </c>
      <c r="AF63" s="167" t="str">
        <f t="shared" si="10"/>
        <v>1-1-2-3-4-4-5-6-7-7-8-9-10</v>
      </c>
      <c r="AG63" t="str">
        <f t="shared" si="11"/>
        <v>1-</v>
      </c>
      <c r="AH63" t="str">
        <f t="shared" si="11"/>
        <v>1-</v>
      </c>
      <c r="AI63" t="str">
        <f t="shared" si="11"/>
        <v>2-</v>
      </c>
      <c r="AJ63" t="str">
        <f t="shared" si="11"/>
        <v>3-</v>
      </c>
      <c r="AK63" t="str">
        <f t="shared" si="11"/>
        <v>4-</v>
      </c>
      <c r="AL63" t="str">
        <f t="shared" si="11"/>
        <v>4-</v>
      </c>
      <c r="AM63" t="str">
        <f t="shared" si="11"/>
        <v>5-</v>
      </c>
      <c r="AN63" t="str">
        <f t="shared" si="11"/>
        <v>6-</v>
      </c>
      <c r="AO63" t="str">
        <f t="shared" si="11"/>
        <v>7-</v>
      </c>
      <c r="AP63" t="str">
        <f t="shared" si="11"/>
        <v>7-</v>
      </c>
      <c r="AQ63" t="str">
        <f t="shared" si="11"/>
        <v>8-</v>
      </c>
      <c r="AR63" t="str">
        <f t="shared" si="11"/>
        <v>9-</v>
      </c>
      <c r="AS63">
        <v>10</v>
      </c>
    </row>
    <row r="64" spans="2:46" ht="24.75" customHeight="1">
      <c r="B64" s="164" t="str">
        <f>IF(OR('Liste Armée'!E35="HF",'Liste Armée'!E35="MF",'Liste Armée'!E35="LF"),"infanterie",IF(OR('Liste Armée'!E35="KN",'Liste Armée'!E35="CAT",'Liste Armée'!E35="CV",'Liste Armée'!E35="LH",'Liste Armée'!E35="LCH",'Liste Armée'!E35="HCH",'Liste Armée'!E35="SCH",'Liste Armée'!E35="EL"),"montes",IF(OR('Liste Armée'!E35="WWG",Données!H47="WGA"),"WWG","Special")))</f>
        <v>montes</v>
      </c>
      <c r="I64" s="70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9"/>
      <c r="AB64" s="168"/>
      <c r="AC64" s="168"/>
      <c r="AD64" s="168"/>
      <c r="AE64" s="128">
        <v>14</v>
      </c>
      <c r="AF64" s="167" t="str">
        <f t="shared" si="10"/>
        <v>1-1-2-3-3-4-5-5-6-7-7-8-9-10</v>
      </c>
      <c r="AG64" t="str">
        <f t="shared" si="11"/>
        <v>1-</v>
      </c>
      <c r="AH64" t="str">
        <f t="shared" si="11"/>
        <v>1-</v>
      </c>
      <c r="AI64" t="str">
        <f t="shared" si="11"/>
        <v>2-</v>
      </c>
      <c r="AJ64" t="str">
        <f t="shared" si="11"/>
        <v>3-</v>
      </c>
      <c r="AK64" t="str">
        <f t="shared" si="11"/>
        <v>3-</v>
      </c>
      <c r="AL64" t="str">
        <f t="shared" si="11"/>
        <v>4-</v>
      </c>
      <c r="AM64" t="str">
        <f t="shared" si="11"/>
        <v>5-</v>
      </c>
      <c r="AN64" t="str">
        <f t="shared" si="11"/>
        <v>5-</v>
      </c>
      <c r="AO64" t="str">
        <f t="shared" si="11"/>
        <v>6-</v>
      </c>
      <c r="AP64" t="str">
        <f t="shared" si="11"/>
        <v>7-</v>
      </c>
      <c r="AQ64" t="str">
        <f t="shared" si="11"/>
        <v>7-</v>
      </c>
      <c r="AR64" t="str">
        <f t="shared" si="11"/>
        <v>8-</v>
      </c>
      <c r="AS64" t="str">
        <f t="shared" si="11"/>
        <v>9-</v>
      </c>
      <c r="AT64">
        <v>10</v>
      </c>
    </row>
    <row r="65" spans="2:47" ht="12.75" customHeight="1">
      <c r="B65" s="164" t="str">
        <f>IF(OR('Liste Armée'!E36="HF",'Liste Armée'!E36="MF",'Liste Armée'!E36="LF"),"infanterie",IF(OR('Liste Armée'!E36="KN",'Liste Armée'!E36="CAT",'Liste Armée'!E36="CV",'Liste Armée'!E36="LH",'Liste Armée'!E36="LCH",'Liste Armée'!E36="HCH",'Liste Armée'!E36="SCH",'Liste Armée'!E36="EL"),"montes",IF(OR('Liste Armée'!E36="WWG",Données!H48="WGA"),"WWG","Special")))</f>
        <v>Special</v>
      </c>
      <c r="I65" s="70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9"/>
      <c r="AC65" s="168"/>
      <c r="AD65" s="168"/>
      <c r="AE65" s="128">
        <v>15</v>
      </c>
      <c r="AF65" s="167" t="str">
        <f t="shared" si="10"/>
        <v>1-1-2-2-3-4-4-5-6-6-7-8-8-9-10</v>
      </c>
      <c r="AG65" t="str">
        <f t="shared" si="11"/>
        <v>1-</v>
      </c>
      <c r="AH65" t="str">
        <f t="shared" si="11"/>
        <v>1-</v>
      </c>
      <c r="AI65" t="str">
        <f t="shared" si="11"/>
        <v>2-</v>
      </c>
      <c r="AJ65" t="str">
        <f t="shared" si="11"/>
        <v>2-</v>
      </c>
      <c r="AK65" t="str">
        <f t="shared" si="11"/>
        <v>3-</v>
      </c>
      <c r="AL65" t="str">
        <f t="shared" si="11"/>
        <v>4-</v>
      </c>
      <c r="AM65" t="str">
        <f t="shared" si="11"/>
        <v>4-</v>
      </c>
      <c r="AN65" t="str">
        <f t="shared" si="11"/>
        <v>5-</v>
      </c>
      <c r="AO65" t="str">
        <f t="shared" si="11"/>
        <v>6-</v>
      </c>
      <c r="AP65" t="str">
        <f t="shared" si="11"/>
        <v>6-</v>
      </c>
      <c r="AQ65" t="str">
        <f t="shared" si="11"/>
        <v>7-</v>
      </c>
      <c r="AR65" t="str">
        <f t="shared" si="11"/>
        <v>8-</v>
      </c>
      <c r="AS65" t="str">
        <f t="shared" si="11"/>
        <v>8-</v>
      </c>
      <c r="AT65" t="str">
        <f t="shared" si="11"/>
        <v>9-</v>
      </c>
      <c r="AU65">
        <v>10</v>
      </c>
    </row>
    <row r="66" spans="2:48" ht="12.75" customHeight="1">
      <c r="B66" s="164" t="str">
        <f>IF(OR('Liste Armée'!E37="HF",'Liste Armée'!E37="MF",'Liste Armée'!E37="LF"),"infanterie",IF(OR('Liste Armée'!E37="KN",'Liste Armée'!E37="CAT",'Liste Armée'!E37="CV",'Liste Armée'!E37="LH",'Liste Armée'!E37="LCH",'Liste Armée'!E37="HCH",'Liste Armée'!E37="SCH",'Liste Armée'!E37="EL"),"montes",IF(OR('Liste Armée'!E37="WWG",Données!H49="WGA"),"WWG","Special")))</f>
        <v>Special</v>
      </c>
      <c r="I66" s="70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28">
        <v>16</v>
      </c>
      <c r="AF66" s="167" t="str">
        <f t="shared" si="10"/>
        <v>1-1-2-2-3-3-4-5-5-6-6-7-8-8-9-10</v>
      </c>
      <c r="AG66" t="str">
        <f t="shared" si="11"/>
        <v>1-</v>
      </c>
      <c r="AH66" t="str">
        <f t="shared" si="11"/>
        <v>1-</v>
      </c>
      <c r="AI66" t="str">
        <f t="shared" si="11"/>
        <v>2-</v>
      </c>
      <c r="AJ66" t="str">
        <f t="shared" si="11"/>
        <v>2-</v>
      </c>
      <c r="AK66" t="str">
        <f t="shared" si="11"/>
        <v>3-</v>
      </c>
      <c r="AL66" t="str">
        <f t="shared" si="11"/>
        <v>3-</v>
      </c>
      <c r="AM66" t="str">
        <f t="shared" si="11"/>
        <v>4-</v>
      </c>
      <c r="AN66" t="str">
        <f t="shared" si="11"/>
        <v>5-</v>
      </c>
      <c r="AO66" t="str">
        <f t="shared" si="11"/>
        <v>5-</v>
      </c>
      <c r="AP66" t="str">
        <f t="shared" si="11"/>
        <v>6-</v>
      </c>
      <c r="AQ66" t="str">
        <f t="shared" si="11"/>
        <v>6-</v>
      </c>
      <c r="AR66" t="str">
        <f t="shared" si="11"/>
        <v>7-</v>
      </c>
      <c r="AS66" t="str">
        <f t="shared" si="11"/>
        <v>8-</v>
      </c>
      <c r="AT66" t="str">
        <f t="shared" si="11"/>
        <v>8-</v>
      </c>
      <c r="AU66" t="str">
        <f t="shared" si="11"/>
        <v>9-</v>
      </c>
      <c r="AV66">
        <v>10</v>
      </c>
    </row>
    <row r="67" spans="2:49" ht="12.75" customHeight="1">
      <c r="B67" s="164" t="str">
        <f>IF(OR('Liste Armée'!E38="HF",'Liste Armée'!E38="MF",'Liste Armée'!E38="LF"),"infanterie",IF(OR('Liste Armée'!E38="KN",'Liste Armée'!E38="CAT",'Liste Armée'!E38="CV",'Liste Armée'!E38="LH",'Liste Armée'!E38="LCH",'Liste Armée'!E38="HCH",'Liste Armée'!E38="SCH",'Liste Armée'!E38="EL"),"montes",IF(OR('Liste Armée'!E38="WWG",Données!H50="WGA"),"WWG","Special")))</f>
        <v>Special</v>
      </c>
      <c r="I67" s="70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28">
        <v>17</v>
      </c>
      <c r="AF67" s="167" t="str">
        <f t="shared" si="10"/>
        <v>1-1-2-2-3-3-4-4-5-6-6-7-7-8-8-9-10</v>
      </c>
      <c r="AG67" t="str">
        <f t="shared" si="11"/>
        <v>1-</v>
      </c>
      <c r="AH67" t="str">
        <f t="shared" si="11"/>
        <v>1-</v>
      </c>
      <c r="AI67" t="str">
        <f t="shared" si="11"/>
        <v>2-</v>
      </c>
      <c r="AJ67" t="str">
        <f t="shared" si="11"/>
        <v>2-</v>
      </c>
      <c r="AK67" t="str">
        <f t="shared" si="11"/>
        <v>3-</v>
      </c>
      <c r="AL67" t="str">
        <f t="shared" si="11"/>
        <v>3-</v>
      </c>
      <c r="AM67" t="str">
        <f t="shared" si="11"/>
        <v>4-</v>
      </c>
      <c r="AN67" t="str">
        <f t="shared" si="11"/>
        <v>4-</v>
      </c>
      <c r="AO67" t="str">
        <f t="shared" si="11"/>
        <v>5-</v>
      </c>
      <c r="AP67" t="str">
        <f t="shared" si="11"/>
        <v>6-</v>
      </c>
      <c r="AQ67" t="str">
        <f t="shared" si="11"/>
        <v>6-</v>
      </c>
      <c r="AR67" t="str">
        <f t="shared" si="11"/>
        <v>7-</v>
      </c>
      <c r="AS67" t="str">
        <f t="shared" si="11"/>
        <v>7-</v>
      </c>
      <c r="AT67" t="str">
        <f t="shared" si="11"/>
        <v>8-</v>
      </c>
      <c r="AU67" t="str">
        <f t="shared" si="11"/>
        <v>8-</v>
      </c>
      <c r="AV67" t="str">
        <f t="shared" si="11"/>
        <v>9-</v>
      </c>
      <c r="AW67">
        <v>10</v>
      </c>
    </row>
    <row r="68" spans="2:50" ht="12.75" customHeight="1">
      <c r="B68" s="164" t="str">
        <f>IF(OR('Liste Armée'!E39="HF",'Liste Armée'!E39="MF",'Liste Armée'!E39="LF"),"infanterie",IF(OR('Liste Armée'!E39="KN",'Liste Armée'!E39="CAT",'Liste Armée'!E39="CV",'Liste Armée'!E39="LH",'Liste Armée'!E39="LCH",'Liste Armée'!E39="HCH",'Liste Armée'!E39="SCH",'Liste Armée'!E39="EL"),"montes",IF(OR('Liste Armée'!E39="WWG",Données!H51="WGA"),"WWG","Special")))</f>
        <v>Special</v>
      </c>
      <c r="I68" s="70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28">
        <v>18</v>
      </c>
      <c r="AF68" s="167" t="str">
        <f t="shared" si="10"/>
        <v>1-1-1-2-2-3-4-4-5-5-6-6-7-7-8-8-9-10</v>
      </c>
      <c r="AG68" t="str">
        <f t="shared" si="11"/>
        <v>1-</v>
      </c>
      <c r="AH68" t="str">
        <f t="shared" si="11"/>
        <v>1-</v>
      </c>
      <c r="AI68" t="str">
        <f t="shared" si="11"/>
        <v>1-</v>
      </c>
      <c r="AJ68" t="str">
        <f t="shared" si="11"/>
        <v>2-</v>
      </c>
      <c r="AK68" t="str">
        <f t="shared" si="11"/>
        <v>2-</v>
      </c>
      <c r="AL68" t="str">
        <f t="shared" si="11"/>
        <v>3-</v>
      </c>
      <c r="AM68" t="str">
        <f t="shared" si="11"/>
        <v>4-</v>
      </c>
      <c r="AN68" t="str">
        <f t="shared" si="11"/>
        <v>4-</v>
      </c>
      <c r="AO68" t="str">
        <f t="shared" si="11"/>
        <v>5-</v>
      </c>
      <c r="AP68" t="str">
        <f t="shared" si="11"/>
        <v>5-</v>
      </c>
      <c r="AQ68" t="str">
        <f t="shared" si="11"/>
        <v>6-</v>
      </c>
      <c r="AR68" t="str">
        <f t="shared" si="11"/>
        <v>6-</v>
      </c>
      <c r="AS68" t="str">
        <f t="shared" si="11"/>
        <v>7-</v>
      </c>
      <c r="AT68" t="str">
        <f t="shared" si="11"/>
        <v>7-</v>
      </c>
      <c r="AU68" t="str">
        <f t="shared" si="11"/>
        <v>8-</v>
      </c>
      <c r="AV68" t="str">
        <f t="shared" si="11"/>
        <v>8-</v>
      </c>
      <c r="AW68" t="str">
        <f>CONCATENATE(AW44,$AF$28)</f>
        <v>9-</v>
      </c>
      <c r="AX68">
        <v>10</v>
      </c>
    </row>
    <row r="69" spans="2:51" ht="12.75" customHeight="1">
      <c r="B69" s="164" t="str">
        <f>IF(OR('Liste Armée'!E40="HF",'Liste Armée'!E40="MF",'Liste Armée'!E40="LF"),"infanterie",IF(OR('Liste Armée'!E40="KN",'Liste Armée'!E40="CAT",'Liste Armée'!E40="CV",'Liste Armée'!E40="LH",'Liste Armée'!E40="LCH",'Liste Armée'!E40="HCH",'Liste Armée'!E40="SCH",'Liste Armée'!E40="EL"),"montes",IF(OR('Liste Armée'!E40="WWG",Données!H52="WGA"),"WWG","Special")))</f>
        <v>Special</v>
      </c>
      <c r="I69" s="70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28">
        <v>19</v>
      </c>
      <c r="AF69" s="167" t="str">
        <f t="shared" si="10"/>
        <v>1-1-1-2-2-3-3-4-4-5-5-6-6-7-7-8-8-9-10</v>
      </c>
      <c r="AG69" t="str">
        <f t="shared" si="11"/>
        <v>1-</v>
      </c>
      <c r="AH69" t="str">
        <f t="shared" si="11"/>
        <v>1-</v>
      </c>
      <c r="AI69" t="str">
        <f t="shared" si="11"/>
        <v>1-</v>
      </c>
      <c r="AJ69" t="str">
        <f t="shared" si="11"/>
        <v>2-</v>
      </c>
      <c r="AK69" t="str">
        <f t="shared" si="11"/>
        <v>2-</v>
      </c>
      <c r="AL69" t="str">
        <f t="shared" si="11"/>
        <v>3-</v>
      </c>
      <c r="AM69" t="str">
        <f t="shared" si="11"/>
        <v>3-</v>
      </c>
      <c r="AN69" t="str">
        <f t="shared" si="11"/>
        <v>4-</v>
      </c>
      <c r="AO69" t="str">
        <f t="shared" si="11"/>
        <v>4-</v>
      </c>
      <c r="AP69" t="str">
        <f t="shared" si="11"/>
        <v>5-</v>
      </c>
      <c r="AQ69" t="str">
        <f t="shared" si="11"/>
        <v>5-</v>
      </c>
      <c r="AR69" t="str">
        <f t="shared" si="11"/>
        <v>6-</v>
      </c>
      <c r="AS69" t="str">
        <f t="shared" si="11"/>
        <v>6-</v>
      </c>
      <c r="AT69" t="str">
        <f t="shared" si="11"/>
        <v>7-</v>
      </c>
      <c r="AU69" t="str">
        <f t="shared" si="11"/>
        <v>7-</v>
      </c>
      <c r="AV69" t="str">
        <f t="shared" si="11"/>
        <v>8-</v>
      </c>
      <c r="AW69" t="str">
        <f>CONCATENATE(AW45,$AF$28)</f>
        <v>8-</v>
      </c>
      <c r="AX69" t="str">
        <f>CONCATENATE(AX45,$AF$28)</f>
        <v>9-</v>
      </c>
      <c r="AY69">
        <v>10</v>
      </c>
    </row>
    <row r="70" spans="2:52" ht="12.75" customHeight="1">
      <c r="B70" s="164" t="str">
        <f>IF(OR('Liste Armée'!E41="HF",'Liste Armée'!E41="MF",'Liste Armée'!E41="LF"),"infanterie",IF(OR('Liste Armée'!E41="KN",'Liste Armée'!E41="CAT",'Liste Armée'!E41="CV",'Liste Armée'!E41="LH",'Liste Armée'!E41="LCH",'Liste Armée'!E41="HCH",'Liste Armée'!E41="SCH",'Liste Armée'!E41="EL"),"montes",IF(OR('Liste Armée'!E41="WWG",Données!H53="WGA"),"WWG","Special")))</f>
        <v>Special</v>
      </c>
      <c r="AE70" s="128">
        <v>20</v>
      </c>
      <c r="AF70" s="167" t="str">
        <f t="shared" si="10"/>
        <v>1-1-1-2-2-3-3-4-4-5-5-6-6-7-7-8-8-9-9-10</v>
      </c>
      <c r="AG70" t="str">
        <f t="shared" si="11"/>
        <v>1-</v>
      </c>
      <c r="AH70" t="str">
        <f t="shared" si="11"/>
        <v>1-</v>
      </c>
      <c r="AI70" t="str">
        <f t="shared" si="11"/>
        <v>1-</v>
      </c>
      <c r="AJ70" t="str">
        <f t="shared" si="11"/>
        <v>2-</v>
      </c>
      <c r="AK70" t="str">
        <f t="shared" si="11"/>
        <v>2-</v>
      </c>
      <c r="AL70" t="str">
        <f t="shared" si="11"/>
        <v>3-</v>
      </c>
      <c r="AM70" t="str">
        <f t="shared" si="11"/>
        <v>3-</v>
      </c>
      <c r="AN70" t="str">
        <f t="shared" si="11"/>
        <v>4-</v>
      </c>
      <c r="AO70" t="str">
        <f t="shared" si="11"/>
        <v>4-</v>
      </c>
      <c r="AP70" t="str">
        <f t="shared" si="11"/>
        <v>5-</v>
      </c>
      <c r="AQ70" t="str">
        <f t="shared" si="11"/>
        <v>5-</v>
      </c>
      <c r="AR70" t="str">
        <f t="shared" si="11"/>
        <v>6-</v>
      </c>
      <c r="AS70" t="str">
        <f t="shared" si="11"/>
        <v>6-</v>
      </c>
      <c r="AT70" t="str">
        <f t="shared" si="11"/>
        <v>7-</v>
      </c>
      <c r="AU70" t="str">
        <f t="shared" si="11"/>
        <v>7-</v>
      </c>
      <c r="AV70" t="str">
        <f t="shared" si="11"/>
        <v>8-</v>
      </c>
      <c r="AW70" t="str">
        <f>CONCATENATE(AW46,$AF$28)</f>
        <v>8-</v>
      </c>
      <c r="AX70" t="str">
        <f>CONCATENATE(AX46,$AF$28)</f>
        <v>9-</v>
      </c>
      <c r="AY70" t="str">
        <f>CONCATENATE(AY46,$AF$28)</f>
        <v>9-</v>
      </c>
      <c r="AZ70">
        <v>10</v>
      </c>
    </row>
    <row r="71" spans="2:53" ht="12.75" customHeight="1">
      <c r="B71" s="164" t="str">
        <f>IF(OR('Liste Armée'!E42="HF",'Liste Armée'!E42="MF",'Liste Armée'!E42="LF"),"infanterie",IF(OR('Liste Armée'!E42="KN",'Liste Armée'!E42="CAT",'Liste Armée'!E42="CV",'Liste Armée'!E42="LH",'Liste Armée'!E42="LCH",'Liste Armée'!E42="HCH",'Liste Armée'!E42="SCH",'Liste Armée'!E42="EL"),"montes",IF(OR('Liste Armée'!E42="WWG",Données!H54="WGA"),"WWG","Special")))</f>
        <v>Special</v>
      </c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128">
        <v>21</v>
      </c>
      <c r="AF71" s="167" t="str">
        <f t="shared" si="10"/>
        <v>1-1-1-2-2-3-3-3-4-4-5-5-6-6-7-7-8-8-9-9-10</v>
      </c>
      <c r="AG71" t="str">
        <f t="shared" si="11"/>
        <v>1-</v>
      </c>
      <c r="AH71" t="str">
        <f t="shared" si="11"/>
        <v>1-</v>
      </c>
      <c r="AI71" t="str">
        <f t="shared" si="11"/>
        <v>1-</v>
      </c>
      <c r="AJ71" t="str">
        <f t="shared" si="11"/>
        <v>2-</v>
      </c>
      <c r="AK71" t="str">
        <f t="shared" si="11"/>
        <v>2-</v>
      </c>
      <c r="AL71" t="str">
        <f t="shared" si="11"/>
        <v>3-</v>
      </c>
      <c r="AM71" t="str">
        <f t="shared" si="11"/>
        <v>3-</v>
      </c>
      <c r="AN71" t="str">
        <f t="shared" si="11"/>
        <v>3-</v>
      </c>
      <c r="AO71" t="str">
        <f t="shared" si="11"/>
        <v>4-</v>
      </c>
      <c r="AP71" t="str">
        <f t="shared" si="11"/>
        <v>4-</v>
      </c>
      <c r="AQ71" t="str">
        <f t="shared" si="11"/>
        <v>5-</v>
      </c>
      <c r="AR71" t="str">
        <f t="shared" si="11"/>
        <v>5-</v>
      </c>
      <c r="AS71" t="str">
        <f t="shared" si="11"/>
        <v>6-</v>
      </c>
      <c r="AT71" t="str">
        <f t="shared" si="11"/>
        <v>6-</v>
      </c>
      <c r="AU71" t="str">
        <f t="shared" si="11"/>
        <v>7-</v>
      </c>
      <c r="AV71" t="str">
        <f t="shared" si="11"/>
        <v>7-</v>
      </c>
      <c r="AW71" t="str">
        <f>CONCATENATE(AW47,$AF$28)</f>
        <v>8-</v>
      </c>
      <c r="AX71" t="str">
        <f>CONCATENATE(AX47,$AF$28)</f>
        <v>8-</v>
      </c>
      <c r="AY71" t="str">
        <f>CONCATENATE(AY47,$AF$28)</f>
        <v>9-</v>
      </c>
      <c r="AZ71" t="str">
        <f>CONCATENATE(AZ47,$AF$28)</f>
        <v>9-</v>
      </c>
      <c r="BA71">
        <v>10</v>
      </c>
    </row>
    <row r="72" spans="2:54" ht="25.5" customHeight="1">
      <c r="B72" s="164" t="str">
        <f>IF(OR('Liste Armée'!E43="HF",'Liste Armée'!E43="MF",'Liste Armée'!E43="LF"),"infanterie",IF(OR('Liste Armée'!E43="KN",'Liste Armée'!E43="CAT",'Liste Armée'!E43="CV",'Liste Armée'!E43="LH",'Liste Armée'!E43="LCH",'Liste Armée'!E43="HCH",'Liste Armée'!E43="SCH",'Liste Armée'!E43="EL"),"montes",IF(OR('Liste Armée'!E43="WWG",Données!H55="WGA"),"WWG","Special")))</f>
        <v>Special</v>
      </c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128">
        <v>22</v>
      </c>
      <c r="AF72" s="167" t="str">
        <f t="shared" si="10"/>
        <v>1-1-1-2-2-2-3-3-4-4-5-5-6-6-6-7-7-8-8-9-9-10</v>
      </c>
      <c r="AG72" t="str">
        <f t="shared" si="11"/>
        <v>1-</v>
      </c>
      <c r="AH72" t="str">
        <f t="shared" si="11"/>
        <v>1-</v>
      </c>
      <c r="AI72" t="str">
        <f t="shared" si="11"/>
        <v>1-</v>
      </c>
      <c r="AJ72" t="str">
        <f t="shared" si="11"/>
        <v>2-</v>
      </c>
      <c r="AK72" t="str">
        <f t="shared" si="11"/>
        <v>2-</v>
      </c>
      <c r="AL72" t="str">
        <f t="shared" si="11"/>
        <v>2-</v>
      </c>
      <c r="AM72" t="str">
        <f t="shared" si="11"/>
        <v>3-</v>
      </c>
      <c r="AN72" t="str">
        <f t="shared" si="11"/>
        <v>3-</v>
      </c>
      <c r="AO72" t="str">
        <f t="shared" si="11"/>
        <v>4-</v>
      </c>
      <c r="AP72" t="str">
        <f t="shared" si="11"/>
        <v>4-</v>
      </c>
      <c r="AQ72" t="str">
        <f t="shared" si="11"/>
        <v>5-</v>
      </c>
      <c r="AR72" t="str">
        <f t="shared" si="11"/>
        <v>5-</v>
      </c>
      <c r="AS72" t="str">
        <f t="shared" si="11"/>
        <v>6-</v>
      </c>
      <c r="AT72" t="str">
        <f t="shared" si="11"/>
        <v>6-</v>
      </c>
      <c r="AU72" t="str">
        <f t="shared" si="11"/>
        <v>6-</v>
      </c>
      <c r="AV72" t="str">
        <f t="shared" si="11"/>
        <v>7-</v>
      </c>
      <c r="AW72" t="str">
        <f>CONCATENATE(AW48,$AF$28)</f>
        <v>7-</v>
      </c>
      <c r="AX72" t="str">
        <f>CONCATENATE(AX48,$AF$28)</f>
        <v>8-</v>
      </c>
      <c r="AY72" t="str">
        <f>CONCATENATE(AY48,$AF$28)</f>
        <v>8-</v>
      </c>
      <c r="AZ72" t="str">
        <f>CONCATENATE(AZ48,$AF$28)</f>
        <v>9-</v>
      </c>
      <c r="BA72" t="str">
        <f>CONCATENATE(BA48,$AF$28)</f>
        <v>9-</v>
      </c>
      <c r="BB72">
        <v>10</v>
      </c>
    </row>
    <row r="73" spans="2:55" ht="24.75" customHeight="1">
      <c r="B73" s="164" t="str">
        <f>IF(OR('Liste Armée'!E44="HF",'Liste Armée'!E44="MF",'Liste Armée'!E44="LF"),"infanterie",IF(OR('Liste Armée'!E44="KN",'Liste Armée'!E44="CAT",'Liste Armée'!E44="CV",'Liste Armée'!E44="LH",'Liste Armée'!E44="LCH",'Liste Armée'!E44="HCH",'Liste Armée'!E44="SCH",'Liste Armée'!E44="EL"),"montes",IF(OR('Liste Armée'!E44="WWG",Données!H56="WGA"),"WWG","Special")))</f>
        <v>Special</v>
      </c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170">
        <v>23</v>
      </c>
      <c r="AF73" s="171" t="str">
        <f>CONCATENATE(AG73,AH73,AI73,AJ73,AK73,AL73,AM73,AN73,AO73,AP73,AQ73,AR73,AS73,AT73,AU73,AV73,AW73,AX73,AY73,AZ73,BA73,BB73,BC73)</f>
        <v>----------------------10</v>
      </c>
      <c r="AG73" t="str">
        <f t="shared" si="11"/>
        <v>-</v>
      </c>
      <c r="AH73" t="str">
        <f t="shared" si="11"/>
        <v>-</v>
      </c>
      <c r="AI73" t="str">
        <f t="shared" si="11"/>
        <v>-</v>
      </c>
      <c r="AJ73" t="str">
        <f t="shared" si="11"/>
        <v>-</v>
      </c>
      <c r="AK73" t="str">
        <f t="shared" si="11"/>
        <v>-</v>
      </c>
      <c r="AL73" t="str">
        <f t="shared" si="11"/>
        <v>-</v>
      </c>
      <c r="AM73" t="str">
        <f t="shared" si="11"/>
        <v>-</v>
      </c>
      <c r="AN73" t="str">
        <f t="shared" si="11"/>
        <v>-</v>
      </c>
      <c r="AO73" t="str">
        <f t="shared" si="11"/>
        <v>-</v>
      </c>
      <c r="AP73" t="str">
        <f t="shared" si="11"/>
        <v>-</v>
      </c>
      <c r="AQ73" t="str">
        <f t="shared" si="11"/>
        <v>-</v>
      </c>
      <c r="AR73" t="str">
        <f t="shared" si="11"/>
        <v>-</v>
      </c>
      <c r="AS73" t="str">
        <f t="shared" si="11"/>
        <v>-</v>
      </c>
      <c r="AT73" t="str">
        <f t="shared" si="11"/>
        <v>-</v>
      </c>
      <c r="AU73" t="str">
        <f t="shared" si="11"/>
        <v>-</v>
      </c>
      <c r="AV73" t="str">
        <f t="shared" si="11"/>
        <v>-</v>
      </c>
      <c r="AW73" t="str">
        <f aca="true" t="shared" si="12" ref="AW73:BB73">CONCATENATE(AW49,$AF$28)</f>
        <v>-</v>
      </c>
      <c r="AX73" t="str">
        <f t="shared" si="12"/>
        <v>-</v>
      </c>
      <c r="AY73" t="str">
        <f t="shared" si="12"/>
        <v>-</v>
      </c>
      <c r="AZ73" t="str">
        <f t="shared" si="12"/>
        <v>-</v>
      </c>
      <c r="BA73" t="str">
        <f t="shared" si="12"/>
        <v>-</v>
      </c>
      <c r="BB73" t="str">
        <f t="shared" si="12"/>
        <v>-</v>
      </c>
      <c r="BC73">
        <v>10</v>
      </c>
    </row>
    <row r="74" spans="2:32" ht="12.75" customHeight="1">
      <c r="B74" s="164" t="str">
        <f>IF(OR('Liste Armée'!E45="HF",'Liste Armée'!E45="MF",'Liste Armée'!E45="LF"),"infanterie",IF(OR('Liste Armée'!E45="KN",'Liste Armée'!E45="CAT",'Liste Armée'!E45="CV",'Liste Armée'!E45="LH",'Liste Armée'!E45="LCH",'Liste Armée'!E45="HCH",'Liste Armée'!E45="SCH",'Liste Armée'!E45="EL"),"montes",IF(OR('Liste Armée'!E45="WWG",Données!H57="WGA"),"WWG","Special")))</f>
        <v>Special</v>
      </c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172"/>
    </row>
    <row r="75" spans="2:32" ht="12.75" customHeight="1">
      <c r="B75" s="164" t="str">
        <f>IF(OR('Liste Armée'!E46="HF",'Liste Armée'!E46="MF",'Liste Armée'!E46="LF"),"infanterie",IF(OR('Liste Armée'!E46="KN",'Liste Armée'!E46="CAT",'Liste Armée'!E46="CV",'Liste Armée'!E46="LH",'Liste Armée'!E46="LCH",'Liste Armée'!E46="HCH",'Liste Armée'!E46="SCH",'Liste Armée'!E46="EL"),"montes",IF(OR('Liste Armée'!E46="WWG",Données!H58="WGA"),"WWG","Special")))</f>
        <v>Special</v>
      </c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172"/>
    </row>
    <row r="76" spans="2:32" ht="12.75" customHeight="1">
      <c r="B76" s="164" t="str">
        <f>IF(OR('Liste Armée'!E47="HF",'Liste Armée'!E47="MF",'Liste Armée'!E47="LF"),"infanterie",IF(OR('Liste Armée'!E47="KN",'Liste Armée'!E47="CAT",'Liste Armée'!E47="CV",'Liste Armée'!E47="LH",'Liste Armée'!E47="LCH",'Liste Armée'!E47="HCH",'Liste Armée'!E47="SCH",'Liste Armée'!E47="EL"),"montes",IF(OR('Liste Armée'!E47="WWG",Données!H59="WGA"),"WWG","Special")))</f>
        <v>Special</v>
      </c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172"/>
    </row>
    <row r="77" spans="2:32" ht="12.75" customHeight="1">
      <c r="B77" s="164" t="str">
        <f>IF(OR('Liste Armée'!E48="HF",'Liste Armée'!E48="MF",'Liste Armée'!E48="LF"),"infanterie",IF(OR('Liste Armée'!E48="KN",'Liste Armée'!E48="CAT",'Liste Armée'!E48="CV",'Liste Armée'!E48="LH",'Liste Armée'!E48="LCH",'Liste Armée'!E48="HCH",'Liste Armée'!E48="SCH",'Liste Armée'!E48="EL"),"montes",IF(OR('Liste Armée'!E48="WWG",Données!H60="WGA"),"WWG","Special")))</f>
        <v>Special</v>
      </c>
      <c r="L77" s="70"/>
      <c r="M77" s="15"/>
      <c r="N77" s="70"/>
      <c r="O77" s="70"/>
      <c r="P77" s="70"/>
      <c r="Q77" s="173" t="s">
        <v>507</v>
      </c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172"/>
    </row>
    <row r="78" spans="2:32" ht="17.25" customHeight="1">
      <c r="B78" s="164" t="str">
        <f>IF(OR('Liste Armée'!E49="HF",'Liste Armée'!E49="MF",'Liste Armée'!E49="LF"),"infanterie",IF(OR('Liste Armée'!E49="KN",'Liste Armée'!E49="CAT",'Liste Armée'!E49="CV",'Liste Armée'!E49="LH",'Liste Armée'!E49="LCH",'Liste Armée'!E49="HCH",'Liste Armée'!E49="SCH",'Liste Armée'!E49="EL"),"montes",IF(OR('Liste Armée'!E49="WWG",Données!H61="WGA"),"WWG","Special")))</f>
        <v>Special</v>
      </c>
      <c r="L78" s="70"/>
      <c r="M78" s="174"/>
      <c r="N78" s="15"/>
      <c r="O78" s="70"/>
      <c r="P78" s="70"/>
      <c r="Q78" s="175" t="str">
        <f ca="1">VLOOKUP("Defensive spearmen",Zone_Traduction,ref_langue,FALSE)</f>
        <v>Defensive Spearmen</v>
      </c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172"/>
    </row>
    <row r="79" spans="2:32" ht="14.25" customHeight="1">
      <c r="B79" s="164" t="str">
        <f>IF(OR('Liste Armée'!E50="HF",'Liste Armée'!E50="MF",'Liste Armée'!E50="LF"),"infanterie",IF(OR('Liste Armée'!E50="KN",'Liste Armée'!E50="CAT",'Liste Armée'!E50="CV",'Liste Armée'!E50="LH",'Liste Armée'!E50="LCH",'Liste Armée'!E50="HCH",'Liste Armée'!E50="SCH",'Liste Armée'!E50="EL"),"montes",IF(OR('Liste Armée'!E50="WWG",Données!H62="WGA"),"WWG","Special")))</f>
        <v>Special</v>
      </c>
      <c r="L79" s="70"/>
      <c r="M79" s="174"/>
      <c r="N79" s="70"/>
      <c r="O79" s="70"/>
      <c r="P79" s="70"/>
      <c r="Q79" s="175" t="str">
        <f ca="1">VLOOKUP("Heavy weapon",Zone_Traduction,ref_langue,FALSE)</f>
        <v>Heavy Weapon</v>
      </c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172"/>
    </row>
    <row r="80" spans="2:32" ht="13.5" customHeight="1">
      <c r="B80" s="164" t="str">
        <f>IF(OR('Liste Armée'!E51="HF",'Liste Armée'!E51="MF",'Liste Armée'!E51="LF"),"infanterie",IF(OR('Liste Armée'!E51="KN",'Liste Armée'!E51="CAT",'Liste Armée'!E51="CV",'Liste Armée'!E51="LH",'Liste Armée'!E51="LCH",'Liste Armée'!E51="HCH",'Liste Armée'!E51="SCH",'Liste Armée'!E51="EL"),"montes",IF(OR('Liste Armée'!E51="WWG",Données!H63="WGA"),"WWG","Special")))</f>
        <v>Special</v>
      </c>
      <c r="L80" s="70"/>
      <c r="M80" s="174"/>
      <c r="N80" s="70"/>
      <c r="O80" s="70"/>
      <c r="P80" s="70"/>
      <c r="Q80" s="175" t="str">
        <f ca="1">VLOOKUP("Impact foot Skilled Swordsmen",Zone_Traduction,ref_langue,FALSE)</f>
        <v>Impact Foot Skilled Swordsmen</v>
      </c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172"/>
    </row>
    <row r="81" spans="2:32" ht="13.5" customHeight="1">
      <c r="B81" s="164" t="str">
        <f>IF(OR('Liste Armée'!E52="HF",'Liste Armée'!E52="MF",'Liste Armée'!E52="LF"),"infanterie",IF(OR('Liste Armée'!E52="KN",'Liste Armée'!E52="CAT",'Liste Armée'!E52="CV",'Liste Armée'!E52="LH",'Liste Armée'!E52="LCH",'Liste Armée'!E52="HCH",'Liste Armée'!E52="SCH",'Liste Armée'!E52="EL"),"montes",IF(OR('Liste Armée'!E52="WWG",Données!H64="WGA"),"WWG","Special")))</f>
        <v>Special</v>
      </c>
      <c r="L81" s="70"/>
      <c r="M81" s="174"/>
      <c r="N81" s="70"/>
      <c r="O81" s="70"/>
      <c r="P81" s="70"/>
      <c r="Q81" s="175" t="str">
        <f ca="1">VLOOKUP("Impact foot Swordsmen",Zone_Traduction,ref_langue,FALSE)</f>
        <v>Impact Foot Swordsmen</v>
      </c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172"/>
    </row>
    <row r="82" spans="2:32" ht="13.5" customHeight="1">
      <c r="B82" s="164" t="str">
        <f>IF(OR('Liste Armée'!E53="HF",'Liste Armée'!E53="MF",'Liste Armée'!E53="LF"),"infanterie",IF(OR('Liste Armée'!E53="KN",'Liste Armée'!E53="CAT",'Liste Armée'!E53="CV",'Liste Armée'!E53="LH",'Liste Armée'!E53="LCH",'Liste Armée'!E53="HCH",'Liste Armée'!E53="SCH",'Liste Armée'!E53="EL"),"montes",IF(OR('Liste Armée'!E53="WWG",Données!H65="WGA"),"WWG","Special")))</f>
        <v>Special</v>
      </c>
      <c r="L82" s="70"/>
      <c r="M82" s="174"/>
      <c r="N82" s="70"/>
      <c r="O82" s="70"/>
      <c r="P82" s="70"/>
      <c r="Q82" s="175" t="str">
        <f ca="1">VLOOKUP("Lancer Swordsmen",Zone_Traduction,ref_langue,FALSE)</f>
        <v>Lancer Swordsmen</v>
      </c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172"/>
    </row>
    <row r="83" spans="2:32" ht="13.5" customHeight="1">
      <c r="B83" s="164" t="str">
        <f>IF(OR('Liste Armée'!E54="HF",'Liste Armée'!E54="MF",'Liste Armée'!E54="LF"),"infanterie",IF(OR('Liste Armée'!E54="KN",'Liste Armée'!E54="CAT",'Liste Armée'!E54="CV",'Liste Armée'!E54="LH",'Liste Armée'!E54="LCH",'Liste Armée'!E54="HCH",'Liste Armée'!E54="SCH",'Liste Armée'!E54="EL"),"montes",IF(OR('Liste Armée'!E54="WWG",Données!H66="WGA"),"WWG","Special")))</f>
        <v>Special</v>
      </c>
      <c r="L83" s="70"/>
      <c r="M83" s="176"/>
      <c r="N83" s="70"/>
      <c r="O83" s="70"/>
      <c r="P83" s="70"/>
      <c r="Q83" s="175" t="str">
        <f ca="1">VLOOKUP("Light spear",Zone_Traduction,ref_langue,FALSE)</f>
        <v>Light Spear</v>
      </c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172"/>
    </row>
    <row r="84" spans="12:32" ht="13.5" customHeight="1">
      <c r="L84" s="70"/>
      <c r="M84" s="176"/>
      <c r="N84" s="70"/>
      <c r="O84" s="70"/>
      <c r="P84" s="70"/>
      <c r="Q84" s="175" t="str">
        <f ca="1">VLOOKUP("Light spear Skilled Swordsmen",Zone_Traduction,ref_langue,FALSE)</f>
        <v>Light Spear Skilled Swordsmen</v>
      </c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172"/>
    </row>
    <row r="85" spans="13:17" ht="12.75" customHeight="1">
      <c r="M85" s="176"/>
      <c r="Q85" s="175" t="str">
        <f ca="1">VLOOKUP("Light spear Swordsmen",Zone_Traduction,ref_langue,FALSE)</f>
        <v>Light spear Swordsmen</v>
      </c>
    </row>
    <row r="86" spans="3:17" ht="12.75" customHeight="1">
      <c r="C86" s="173" t="s">
        <v>507</v>
      </c>
      <c r="D86" s="177" t="str">
        <f ca="1">VLOOKUP("Unprotected",Zone_Traduction,ref_langue,FALSE)</f>
        <v>Unprotected</v>
      </c>
      <c r="E86" s="178" t="str">
        <f ca="1">VLOOKUP("Elite",Zone_Traduction,ref_langue,FALSE)</f>
        <v>Elite</v>
      </c>
      <c r="F86" s="179" t="str">
        <f ca="1">VLOOKUP("Drilled",Zone_Traduction,ref_langue,FALSE)</f>
        <v>Drilled</v>
      </c>
      <c r="G86" s="179" t="s">
        <v>507</v>
      </c>
      <c r="H86" s="178" t="s">
        <v>507</v>
      </c>
      <c r="I86" s="180" t="str">
        <f ca="1">VLOOKUP("Yes",Zone_Traduction,ref_langue,FALSE)</f>
        <v>Yes</v>
      </c>
      <c r="J86" s="159" t="s">
        <v>507</v>
      </c>
      <c r="K86" s="15"/>
      <c r="L86" s="178" t="s">
        <v>499</v>
      </c>
      <c r="M86" s="176"/>
      <c r="Q86" s="175" t="str">
        <f ca="1">VLOOKUP("Offensive spearmen",Zone_Traduction,ref_langue,FALSE)</f>
        <v>Offensive Spearmen</v>
      </c>
    </row>
    <row r="87" spans="3:17" ht="12.75" customHeight="1">
      <c r="C87" s="181" t="s">
        <v>854</v>
      </c>
      <c r="D87" s="182" t="str">
        <f ca="1">VLOOKUP("Protected",Zone_Traduction,ref_langue,FALSE)</f>
        <v>Protected</v>
      </c>
      <c r="E87" s="175" t="str">
        <f ca="1">VLOOKUP("Superior",Zone_Traduction,ref_langue,FALSE)</f>
        <v>Superior</v>
      </c>
      <c r="F87" s="183" t="str">
        <f ca="1">VLOOKUP("Undrilled",Zone_Traduction,ref_langue,FALSE)</f>
        <v>Undrilled</v>
      </c>
      <c r="G87" s="183" t="str">
        <f ca="1">VLOOKUP("Bow",Zone_Traduction,ref_langue,FALSE)</f>
        <v>Bow</v>
      </c>
      <c r="H87" s="175" t="s">
        <v>855</v>
      </c>
      <c r="I87" s="184" t="str">
        <f ca="1">VLOOKUP("No",Zone_Traduction,ref_langue,FALSE)</f>
        <v>No</v>
      </c>
      <c r="J87" s="175" t="str">
        <f ca="1">VLOOKUP("Camelry",Zone_Traduction,ref_langue,FALSE)</f>
        <v>Camelry</v>
      </c>
      <c r="K87" s="15"/>
      <c r="L87" s="175" t="str">
        <f ca="1">VLOOKUP("Agricultural",Zone_Traduction,ref_langue,FALSE)</f>
        <v>Agricultural</v>
      </c>
      <c r="M87" s="176"/>
      <c r="Q87" s="175" t="str">
        <f ca="1">VLOOKUP("Pikemen",Zone_Traduction,ref_langue,FALSE)</f>
        <v>Pikemen</v>
      </c>
    </row>
    <row r="88" spans="3:17" ht="12.75" customHeight="1">
      <c r="C88" s="181" t="s">
        <v>856</v>
      </c>
      <c r="D88" s="182" t="str">
        <f ca="1">VLOOKUP("Armoured",Zone_Traduction,ref_langue,FALSE)</f>
        <v>Armoured</v>
      </c>
      <c r="E88" s="175" t="str">
        <f ca="1">VLOOKUP("Average",Zone_Traduction,ref_langue,FALSE)</f>
        <v>Average</v>
      </c>
      <c r="F88" s="185" t="s">
        <v>507</v>
      </c>
      <c r="G88" s="183" t="str">
        <f ca="1">VLOOKUP("Bw*",Zone_Traduction,ref_langue,FALSE)</f>
        <v>Bw*</v>
      </c>
      <c r="H88" s="186" t="s">
        <v>508</v>
      </c>
      <c r="I88" s="176"/>
      <c r="J88" s="186" t="str">
        <f ca="1">VLOOKUP("Port Def.",Zone_Traduction,ref_langue,FALSE)</f>
        <v>Port Def.</v>
      </c>
      <c r="K88" s="15"/>
      <c r="L88" s="175" t="str">
        <f ca="1">VLOOKUP("Desert",Zone_Traduction,ref_langue,FALSE)</f>
        <v>Desert</v>
      </c>
      <c r="M88" s="176"/>
      <c r="Q88" s="175" t="str">
        <f ca="1">VLOOKUP("Skilled swordsmen",Zone_Traduction,ref_langue,FALSE)</f>
        <v>Skilled Swordsmen</v>
      </c>
    </row>
    <row r="89" spans="3:17" ht="12.75" customHeight="1">
      <c r="C89" s="181" t="s">
        <v>857</v>
      </c>
      <c r="D89" s="182" t="str">
        <f ca="1">VLOOKUP("Heavily armoured",Zone_Traduction,ref_langue,FALSE)</f>
        <v>Heavily Armoured</v>
      </c>
      <c r="E89" s="175" t="str">
        <f ca="1">VLOOKUP("Poor",Zone_Traduction,ref_langue,FALSE)</f>
        <v>Poor</v>
      </c>
      <c r="F89" s="14"/>
      <c r="G89" s="175" t="str">
        <f ca="1">VLOOKUP("Crossbow",Zone_Traduction,ref_langue,FALSE)</f>
        <v>Crossbow</v>
      </c>
      <c r="H89" s="176"/>
      <c r="I89" s="176"/>
      <c r="J89" s="176"/>
      <c r="K89" s="15"/>
      <c r="L89" s="175" t="str">
        <f ca="1">VLOOKUP("Developed",Zone_Traduction,ref_langue,FALSE)</f>
        <v>Developed</v>
      </c>
      <c r="M89" s="176"/>
      <c r="Q89" s="186" t="str">
        <f ca="1">VLOOKUP("Swordsmen",Zone_Traduction,ref_langue,FALSE)</f>
        <v>Swordsmen</v>
      </c>
    </row>
    <row r="90" spans="3:13" ht="12.75" customHeight="1">
      <c r="C90" s="175" t="s">
        <v>858</v>
      </c>
      <c r="D90" s="187" t="s">
        <v>507</v>
      </c>
      <c r="E90" s="186" t="s">
        <v>507</v>
      </c>
      <c r="F90" s="14"/>
      <c r="G90" s="175" t="str">
        <f ca="1">VLOOKUP("Firearm",Zone_Traduction,ref_langue,FALSE)</f>
        <v>Firearm</v>
      </c>
      <c r="H90" s="176"/>
      <c r="I90" s="176"/>
      <c r="K90" s="15"/>
      <c r="L90" s="175" t="str">
        <f ca="1">VLOOKUP("Hilly",Zone_Traduction,ref_langue,FALSE)</f>
        <v>Hilly</v>
      </c>
      <c r="M90" s="188"/>
    </row>
    <row r="91" spans="3:13" ht="12.75" customHeight="1">
      <c r="C91" s="175" t="s">
        <v>511</v>
      </c>
      <c r="D91" s="14"/>
      <c r="E91" s="14"/>
      <c r="F91" s="14"/>
      <c r="G91" s="175" t="str">
        <f ca="1">VLOOKUP("Heavy artillery",Zone_Traduction,ref_langue,FALSE)</f>
        <v>Heavy Artillery</v>
      </c>
      <c r="H91" s="176"/>
      <c r="I91" s="176"/>
      <c r="K91" s="15"/>
      <c r="L91" s="175" t="str">
        <f ca="1">VLOOKUP("Mountain",Zone_Traduction,ref_langue,FALSE)</f>
        <v>Mountain</v>
      </c>
      <c r="M91" s="188"/>
    </row>
    <row r="92" spans="3:13" ht="12.75" customHeight="1">
      <c r="C92" s="175" t="s">
        <v>859</v>
      </c>
      <c r="D92" s="14"/>
      <c r="E92" s="14"/>
      <c r="F92" s="14"/>
      <c r="G92" s="175" t="str">
        <f ca="1">VLOOKUP("Javelins",Zone_Traduction,ref_langue,FALSE)</f>
        <v>Javelins</v>
      </c>
      <c r="H92" s="176"/>
      <c r="I92" s="176"/>
      <c r="J92" s="189"/>
      <c r="K92" s="15"/>
      <c r="L92" s="175" t="str">
        <f ca="1">VLOOKUP("Steppe",Zone_Traduction,ref_langue,FALSE)</f>
        <v>Steppe</v>
      </c>
      <c r="M92" s="188"/>
    </row>
    <row r="93" spans="3:13" ht="12.75" customHeight="1">
      <c r="C93" s="175" t="s">
        <v>795</v>
      </c>
      <c r="D93" s="14"/>
      <c r="E93" s="14"/>
      <c r="F93" s="14"/>
      <c r="G93" s="175" t="str">
        <f ca="1">VLOOKUP("Light artillery",Zone_Traduction,ref_langue,FALSE)</f>
        <v>Light Artillery</v>
      </c>
      <c r="H93" s="176"/>
      <c r="I93" s="14"/>
      <c r="J93" s="189"/>
      <c r="K93" s="15"/>
      <c r="L93" s="175" t="str">
        <f ca="1">VLOOKUP("Tropical",Zone_Traduction,ref_langue,FALSE)</f>
        <v>Tropical</v>
      </c>
      <c r="M93" s="188"/>
    </row>
    <row r="94" spans="3:13" ht="12.75" customHeight="1">
      <c r="C94" s="175" t="s">
        <v>860</v>
      </c>
      <c r="D94" s="14"/>
      <c r="E94" s="14"/>
      <c r="F94" s="14"/>
      <c r="G94" s="175" t="str">
        <f ca="1">VLOOKUP("Longbow",Zone_Traduction,ref_langue,FALSE)</f>
        <v>Longbow</v>
      </c>
      <c r="H94" s="14"/>
      <c r="I94" s="14"/>
      <c r="J94" s="189"/>
      <c r="K94" s="15"/>
      <c r="L94" s="186" t="str">
        <f ca="1">VLOOKUP("Woodland",Zone_Traduction,ref_langue,FALSE)</f>
        <v>Woodland</v>
      </c>
      <c r="M94" s="188"/>
    </row>
    <row r="95" spans="3:13" ht="12.75" customHeight="1">
      <c r="C95" s="175" t="s">
        <v>861</v>
      </c>
      <c r="D95" s="14"/>
      <c r="E95" s="14"/>
      <c r="F95" s="14"/>
      <c r="G95" s="186" t="str">
        <f ca="1">VLOOKUP("Sling",Zone_Traduction,ref_langue,FALSE)</f>
        <v>Sling</v>
      </c>
      <c r="H95" s="14"/>
      <c r="I95" s="14"/>
      <c r="J95" s="159" t="s">
        <v>507</v>
      </c>
      <c r="K95" s="82">
        <v>0</v>
      </c>
      <c r="L95" s="14"/>
      <c r="M95" s="188"/>
    </row>
    <row r="96" spans="3:13" ht="12.75" customHeight="1">
      <c r="C96" s="175" t="s">
        <v>862</v>
      </c>
      <c r="D96" s="14"/>
      <c r="E96" s="14"/>
      <c r="F96" s="14"/>
      <c r="G96" s="14"/>
      <c r="H96" s="14"/>
      <c r="I96" s="14"/>
      <c r="J96" s="160" t="s">
        <v>841</v>
      </c>
      <c r="K96" s="22">
        <v>80</v>
      </c>
      <c r="L96" s="14"/>
      <c r="M96" s="188"/>
    </row>
    <row r="97" spans="3:13" ht="12.75" customHeight="1">
      <c r="C97" s="175" t="s">
        <v>863</v>
      </c>
      <c r="D97" s="14"/>
      <c r="E97" s="14"/>
      <c r="F97" s="14"/>
      <c r="G97" s="14"/>
      <c r="H97" s="14"/>
      <c r="I97" s="14"/>
      <c r="J97" s="160" t="s">
        <v>505</v>
      </c>
      <c r="K97" s="22">
        <v>50</v>
      </c>
      <c r="L97" s="14"/>
      <c r="M97" s="188"/>
    </row>
    <row r="98" spans="3:12" ht="12.75" customHeight="1">
      <c r="C98" s="175" t="s">
        <v>813</v>
      </c>
      <c r="D98" s="14"/>
      <c r="E98" s="14"/>
      <c r="F98" s="14"/>
      <c r="G98" s="14"/>
      <c r="H98" s="14"/>
      <c r="I98" s="14"/>
      <c r="J98" s="161" t="s">
        <v>506</v>
      </c>
      <c r="K98" s="190">
        <v>35</v>
      </c>
      <c r="L98" s="14"/>
    </row>
    <row r="99" spans="1:12" ht="12.75" customHeight="1">
      <c r="A99" s="28"/>
      <c r="B99" s="191"/>
      <c r="C99" s="175" t="s">
        <v>864</v>
      </c>
      <c r="D99" s="14"/>
      <c r="E99" s="14"/>
      <c r="F99" s="14"/>
      <c r="G99" s="14"/>
      <c r="H99" s="14"/>
      <c r="I99" s="14"/>
      <c r="J99" s="189"/>
      <c r="K99" s="15"/>
      <c r="L99" s="14"/>
    </row>
    <row r="100" spans="1:12" ht="12.75" customHeight="1">
      <c r="A100" s="28"/>
      <c r="B100" s="191"/>
      <c r="C100" s="175" t="s">
        <v>865</v>
      </c>
      <c r="D100" s="14"/>
      <c r="E100" s="14"/>
      <c r="F100" s="14"/>
      <c r="G100" s="192"/>
      <c r="H100" s="191"/>
      <c r="I100" s="14"/>
      <c r="J100" s="189"/>
      <c r="K100" s="15"/>
      <c r="L100" s="14"/>
    </row>
    <row r="101" spans="1:12" ht="12.75" customHeight="1">
      <c r="A101" s="28"/>
      <c r="B101" s="191"/>
      <c r="C101" s="186" t="s">
        <v>822</v>
      </c>
      <c r="D101" s="14"/>
      <c r="E101" s="14"/>
      <c r="F101" s="14"/>
      <c r="G101" s="14"/>
      <c r="H101" s="14"/>
      <c r="I101" s="14"/>
      <c r="J101" s="189"/>
      <c r="K101" s="15"/>
      <c r="L101" s="14"/>
    </row>
    <row r="102" spans="3:12" ht="12.75" customHeight="1">
      <c r="C102" s="191"/>
      <c r="D102" s="14"/>
      <c r="E102" s="14"/>
      <c r="F102" s="14"/>
      <c r="G102" s="14"/>
      <c r="H102" s="14"/>
      <c r="I102" s="14"/>
      <c r="J102" s="189"/>
      <c r="K102" s="15"/>
      <c r="L102" s="14"/>
    </row>
    <row r="103" spans="3:12" ht="12.75" customHeight="1">
      <c r="C103" s="191"/>
      <c r="D103" s="14"/>
      <c r="E103" s="14"/>
      <c r="F103" s="14"/>
      <c r="G103" s="14"/>
      <c r="H103" s="14"/>
      <c r="I103" s="14"/>
      <c r="J103" s="189"/>
      <c r="K103" s="15"/>
      <c r="L103" s="14"/>
    </row>
    <row r="104" spans="3:12" ht="12.75" customHeight="1">
      <c r="C104" s="191"/>
      <c r="D104" s="14"/>
      <c r="E104" s="14"/>
      <c r="F104" s="14"/>
      <c r="G104" s="14"/>
      <c r="H104" s="14"/>
      <c r="I104" s="14"/>
      <c r="J104" s="189"/>
      <c r="K104" s="15"/>
      <c r="L104" s="14"/>
    </row>
    <row r="105" spans="3:12" ht="12.75" customHeight="1">
      <c r="C105" s="176"/>
      <c r="D105" s="14"/>
      <c r="E105" s="14"/>
      <c r="F105" s="14"/>
      <c r="G105" s="14"/>
      <c r="H105" s="14"/>
      <c r="I105" s="14"/>
      <c r="J105" s="189"/>
      <c r="K105" s="15"/>
      <c r="L105" s="14"/>
    </row>
    <row r="106" ht="12.75" customHeight="1">
      <c r="C106" s="49"/>
    </row>
    <row r="107" spans="2:11" ht="12.75" customHeight="1">
      <c r="B107" s="193" t="s">
        <v>866</v>
      </c>
      <c r="C107" s="194">
        <v>0</v>
      </c>
      <c r="D107" s="194">
        <v>1</v>
      </c>
      <c r="E107" s="195">
        <v>2</v>
      </c>
      <c r="F107" s="196">
        <v>4</v>
      </c>
      <c r="G107" s="196">
        <v>6</v>
      </c>
      <c r="H107" s="196">
        <v>8</v>
      </c>
      <c r="I107" s="196">
        <v>9</v>
      </c>
      <c r="J107" s="196">
        <v>10</v>
      </c>
      <c r="K107" s="197">
        <v>12</v>
      </c>
    </row>
    <row r="108" spans="2:11" ht="12.75" customHeight="1">
      <c r="B108" s="183" t="str">
        <f ca="1">VLOOKUP("Elite",Zone_Traduction,ref_langue,FALSE)</f>
        <v>Elite</v>
      </c>
      <c r="C108" s="198" t="s">
        <v>507</v>
      </c>
      <c r="D108" s="199"/>
      <c r="E108" s="200">
        <v>2</v>
      </c>
      <c r="F108" s="199">
        <v>3</v>
      </c>
      <c r="G108" s="199">
        <v>4</v>
      </c>
      <c r="H108" s="199">
        <v>5</v>
      </c>
      <c r="I108" s="199">
        <v>6</v>
      </c>
      <c r="J108" s="199">
        <v>7</v>
      </c>
      <c r="K108" s="88">
        <v>8</v>
      </c>
    </row>
    <row r="109" spans="2:11" ht="12.75" customHeight="1">
      <c r="B109" s="183" t="str">
        <f ca="1">VLOOKUP("Superior",Zone_Traduction,ref_langue,FALSE)</f>
        <v>Superior</v>
      </c>
      <c r="C109" s="198" t="s">
        <v>507</v>
      </c>
      <c r="D109" s="199"/>
      <c r="E109" s="201">
        <v>2</v>
      </c>
      <c r="F109" s="199">
        <v>3</v>
      </c>
      <c r="G109" s="199">
        <v>4</v>
      </c>
      <c r="H109" s="199">
        <v>5</v>
      </c>
      <c r="I109" s="199">
        <v>5</v>
      </c>
      <c r="J109" s="199">
        <v>6</v>
      </c>
      <c r="K109" s="88">
        <v>7</v>
      </c>
    </row>
    <row r="110" spans="2:11" ht="12.75" customHeight="1">
      <c r="B110" s="183" t="str">
        <f ca="1">VLOOKUP("Average",Zone_Traduction,ref_langue,FALSE)</f>
        <v>Average</v>
      </c>
      <c r="C110" s="198" t="s">
        <v>507</v>
      </c>
      <c r="D110" s="199"/>
      <c r="E110" s="176">
        <v>1</v>
      </c>
      <c r="F110" s="199">
        <v>2</v>
      </c>
      <c r="G110" s="199">
        <v>3</v>
      </c>
      <c r="H110" s="199">
        <v>4</v>
      </c>
      <c r="I110" s="199">
        <v>4</v>
      </c>
      <c r="J110" s="199">
        <v>5</v>
      </c>
      <c r="K110" s="88">
        <v>5</v>
      </c>
    </row>
    <row r="111" spans="2:11" ht="12.75" customHeight="1">
      <c r="B111" s="183" t="str">
        <f ca="1">VLOOKUP("Poor",Zone_Traduction,ref_langue,FALSE)</f>
        <v>Poor</v>
      </c>
      <c r="C111" s="198" t="s">
        <v>507</v>
      </c>
      <c r="D111" s="199"/>
      <c r="E111" s="199">
        <v>1</v>
      </c>
      <c r="F111" s="199">
        <v>2</v>
      </c>
      <c r="G111" s="199">
        <v>2</v>
      </c>
      <c r="H111" s="199">
        <v>3</v>
      </c>
      <c r="I111" s="199">
        <v>3</v>
      </c>
      <c r="J111" s="199">
        <v>4</v>
      </c>
      <c r="K111" s="88">
        <v>4</v>
      </c>
    </row>
    <row r="112" spans="2:11" ht="12.75" customHeight="1">
      <c r="B112" s="185" t="s">
        <v>507</v>
      </c>
      <c r="C112" s="198" t="s">
        <v>507</v>
      </c>
      <c r="D112" s="202" t="s">
        <v>507</v>
      </c>
      <c r="E112" s="203">
        <v>0</v>
      </c>
      <c r="F112" s="203">
        <v>0</v>
      </c>
      <c r="G112" s="203">
        <v>0</v>
      </c>
      <c r="H112" s="203">
        <v>0</v>
      </c>
      <c r="I112" s="198">
        <v>0</v>
      </c>
      <c r="J112" s="203">
        <v>0</v>
      </c>
      <c r="K112" s="204">
        <v>0</v>
      </c>
    </row>
    <row r="118" spans="3:4" ht="12.75" customHeight="1">
      <c r="C118" s="205"/>
      <c r="D118" s="206"/>
    </row>
    <row r="119" spans="3:4" ht="12.75" customHeight="1">
      <c r="C119" s="16"/>
      <c r="D119" s="206"/>
    </row>
    <row r="120" spans="3:4" ht="12.75" customHeight="1">
      <c r="C120" s="16"/>
      <c r="D120" s="206"/>
    </row>
    <row r="121" spans="3:6" ht="12.75" customHeight="1">
      <c r="C121" s="16"/>
      <c r="D121" s="207"/>
      <c r="E121" s="16"/>
      <c r="F121" s="16"/>
    </row>
    <row r="122" spans="3:6" ht="12.75" customHeight="1">
      <c r="C122" s="16"/>
      <c r="D122" s="207"/>
      <c r="E122" s="16"/>
      <c r="F122" s="16"/>
    </row>
    <row r="123" ht="12.75" customHeight="1">
      <c r="D123" s="206"/>
    </row>
    <row r="124" ht="12.75" customHeight="1">
      <c r="D124" s="206"/>
    </row>
    <row r="125" ht="12.75" customHeight="1">
      <c r="D125" s="206"/>
    </row>
    <row r="126" ht="12.75" customHeight="1">
      <c r="D126" s="199"/>
    </row>
  </sheetData>
  <sheetProtection sheet="1" objects="1" scenarios="1" selectLockedCells="1" selectUnlockedCells="1"/>
  <dataValidations count="1">
    <dataValidation type="list" allowBlank="1" showErrorMessage="1" sqref="B2">
      <formula1>Language_choices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81"/>
  <sheetViews>
    <sheetView showGridLines="0" zoomScale="65" zoomScaleNormal="65" zoomScalePageLayoutView="0" workbookViewId="0" topLeftCell="A25">
      <selection activeCell="S50" sqref="S50"/>
    </sheetView>
  </sheetViews>
  <sheetFormatPr defaultColWidth="11.421875" defaultRowHeight="12.75"/>
  <cols>
    <col min="1" max="1" width="3.28125" style="0" customWidth="1"/>
    <col min="2" max="2" width="18.7109375" style="0" customWidth="1"/>
    <col min="3" max="3" width="35.140625" style="0" customWidth="1"/>
    <col min="4" max="4" width="6.140625" style="0" customWidth="1"/>
    <col min="5" max="5" width="12.421875" style="0" customWidth="1"/>
    <col min="6" max="6" width="13.140625" style="0" customWidth="1"/>
    <col min="7" max="7" width="15.00390625" style="0" customWidth="1"/>
    <col min="8" max="8" width="17.7109375" style="0" customWidth="1"/>
    <col min="9" max="9" width="18.28125" style="0" customWidth="1"/>
    <col min="10" max="10" width="11.421875" style="0" customWidth="1"/>
    <col min="11" max="11" width="13.28125" style="0" customWidth="1"/>
    <col min="12" max="12" width="11.421875" style="0" customWidth="1"/>
    <col min="13" max="13" width="10.28125" style="0" customWidth="1"/>
    <col min="14" max="14" width="8.57421875" style="0" customWidth="1"/>
    <col min="15" max="15" width="18.7109375" style="0" customWidth="1"/>
    <col min="16" max="16" width="3.140625" style="0" customWidth="1"/>
    <col min="17" max="17" width="2.421875" style="0" customWidth="1"/>
  </cols>
  <sheetData>
    <row r="1" spans="1:16" ht="15" customHeight="1">
      <c r="A1" s="208"/>
      <c r="B1" s="282" t="s">
        <v>867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5" customHeight="1">
      <c r="A2" s="208"/>
      <c r="B2" s="283" t="s">
        <v>868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10"/>
    </row>
    <row r="3" spans="1:16" ht="15" customHeight="1">
      <c r="A3" s="210"/>
      <c r="B3" s="284" t="s">
        <v>869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10"/>
    </row>
    <row r="4" spans="1:16" ht="15" customHeight="1">
      <c r="A4" s="210"/>
      <c r="B4" s="285" t="s">
        <v>870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10"/>
    </row>
    <row r="5" spans="1:16" ht="12.75" customHeight="1">
      <c r="A5" s="210"/>
      <c r="B5" s="286" t="s">
        <v>871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10"/>
    </row>
    <row r="6" spans="1:16" ht="12.75" customHeight="1">
      <c r="A6" s="210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10"/>
    </row>
    <row r="7" spans="1:16" ht="15" customHeight="1">
      <c r="A7" s="210"/>
      <c r="B7" s="283" t="s">
        <v>872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10"/>
    </row>
    <row r="8" spans="1:16" ht="15" customHeight="1">
      <c r="A8" s="208"/>
      <c r="B8" s="288" t="s">
        <v>873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10"/>
    </row>
    <row r="9" spans="1:16" ht="15" customHeight="1">
      <c r="A9" s="208"/>
      <c r="B9" s="289" t="s">
        <v>874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10"/>
    </row>
    <row r="10" spans="1:16" ht="15.75" customHeight="1">
      <c r="A10" s="208"/>
      <c r="B10" s="211"/>
      <c r="C10" s="276" t="s">
        <v>450</v>
      </c>
      <c r="D10" s="276" t="s">
        <v>875</v>
      </c>
      <c r="E10" s="276" t="e">
        <f ca="1">VLOOKUP("Troops",Zone_Traduction,ref_langue,FALSE)</f>
        <v>#N/A</v>
      </c>
      <c r="F10" s="276" t="e">
        <f ca="1">VLOOKUP("Troops",Zone_Traduction,ref_langue,FALSE)</f>
        <v>#N/A</v>
      </c>
      <c r="G10" s="276" t="e">
        <f ca="1">VLOOKUP("Troops",Zone_Traduction,ref_langue,FALSE)</f>
        <v>#N/A</v>
      </c>
      <c r="H10" s="276" t="s">
        <v>97</v>
      </c>
      <c r="I10" s="276"/>
      <c r="J10" s="276"/>
      <c r="K10" s="276" t="s">
        <v>120</v>
      </c>
      <c r="L10" s="276"/>
      <c r="M10" s="276"/>
      <c r="N10" s="276" t="s">
        <v>140</v>
      </c>
      <c r="O10" s="276"/>
      <c r="P10" s="210"/>
    </row>
    <row r="11" spans="1:16" ht="41.25" customHeight="1">
      <c r="A11" s="208"/>
      <c r="B11" s="55" t="s">
        <v>327</v>
      </c>
      <c r="C11" s="276"/>
      <c r="D11" s="56" t="s">
        <v>458</v>
      </c>
      <c r="E11" s="56" t="s">
        <v>30</v>
      </c>
      <c r="F11" s="56" t="s">
        <v>377</v>
      </c>
      <c r="G11" s="56" t="s">
        <v>440</v>
      </c>
      <c r="H11" s="56" t="s">
        <v>876</v>
      </c>
      <c r="I11" s="56" t="s">
        <v>104</v>
      </c>
      <c r="J11" s="56" t="s">
        <v>490</v>
      </c>
      <c r="K11" s="56" t="s">
        <v>877</v>
      </c>
      <c r="L11" s="56" t="s">
        <v>878</v>
      </c>
      <c r="M11" s="56" t="s">
        <v>879</v>
      </c>
      <c r="N11" s="57" t="s">
        <v>509</v>
      </c>
      <c r="O11" s="56" t="s">
        <v>54</v>
      </c>
      <c r="P11" s="210"/>
    </row>
    <row r="12" spans="1:16" ht="30">
      <c r="A12" s="208"/>
      <c r="B12" s="45">
        <v>1</v>
      </c>
      <c r="C12" s="60" t="s">
        <v>880</v>
      </c>
      <c r="D12" s="212" t="s">
        <v>857</v>
      </c>
      <c r="E12" s="212" t="s">
        <v>372</v>
      </c>
      <c r="F12" s="212" t="s">
        <v>58</v>
      </c>
      <c r="G12" s="212" t="s">
        <v>153</v>
      </c>
      <c r="H12" s="212" t="s">
        <v>507</v>
      </c>
      <c r="I12" s="212" t="s">
        <v>264</v>
      </c>
      <c r="J12" s="212" t="s">
        <v>507</v>
      </c>
      <c r="K12" s="45">
        <v>6</v>
      </c>
      <c r="L12" s="213">
        <v>7</v>
      </c>
      <c r="M12" s="214">
        <f>L12*K12</f>
        <v>42</v>
      </c>
      <c r="N12" s="64">
        <v>3</v>
      </c>
      <c r="O12" s="215">
        <v>4</v>
      </c>
      <c r="P12" s="210"/>
    </row>
    <row r="13" spans="1:16" ht="30">
      <c r="A13" s="208"/>
      <c r="B13" s="45">
        <v>1</v>
      </c>
      <c r="C13" s="60" t="s">
        <v>881</v>
      </c>
      <c r="D13" s="212" t="s">
        <v>854</v>
      </c>
      <c r="E13" s="212" t="s">
        <v>466</v>
      </c>
      <c r="F13" s="212" t="s">
        <v>58</v>
      </c>
      <c r="G13" s="212" t="s">
        <v>153</v>
      </c>
      <c r="H13" s="212" t="s">
        <v>83</v>
      </c>
      <c r="I13" s="212" t="s">
        <v>507</v>
      </c>
      <c r="J13" s="212" t="s">
        <v>507</v>
      </c>
      <c r="K13" s="45">
        <v>3</v>
      </c>
      <c r="L13" s="213">
        <v>5</v>
      </c>
      <c r="M13" s="214">
        <f>L13*K13</f>
        <v>15</v>
      </c>
      <c r="N13" s="64" t="str">
        <f>IF(ISBLANK(B13),"-",IF(B13=B14,ROUNDUP((K13+K14)/4,0),IF(B13=B12,"-",ROUNDUP(K13/4,0))))</f>
        <v>-</v>
      </c>
      <c r="O13" s="215" t="str">
        <f>IF(B13=B12,"-",IF(B13=B14,VLOOKUP(F13,tableau_autobreack,MATCH((K13+K14),colonnes_autobreack,FALSE),FALSE),VLOOKUP(F13,tableau_autobreack,MATCH(K13,colonnes_autobreack,FALSE),FALSE)))</f>
        <v>-</v>
      </c>
      <c r="P13" s="210"/>
    </row>
    <row r="14" spans="1:16" ht="15" customHeight="1">
      <c r="A14" s="208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10"/>
    </row>
    <row r="15" spans="1:16" ht="15" customHeight="1">
      <c r="A15" s="210"/>
      <c r="B15" s="283" t="s">
        <v>882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10"/>
    </row>
    <row r="16" spans="1:16" ht="15.75" customHeight="1">
      <c r="A16" s="210"/>
      <c r="B16" s="291" t="s">
        <v>883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10"/>
    </row>
    <row r="17" spans="1:16" ht="15" customHeight="1">
      <c r="A17" s="208"/>
      <c r="B17" s="292" t="s">
        <v>884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10"/>
    </row>
    <row r="18" spans="1:16" ht="15" customHeight="1">
      <c r="A18" s="208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10"/>
    </row>
    <row r="19" spans="1:16" ht="15" customHeight="1">
      <c r="A19" s="210"/>
      <c r="B19" s="283" t="s">
        <v>244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10"/>
    </row>
    <row r="20" spans="1:16" ht="15" customHeight="1">
      <c r="A20" s="210"/>
      <c r="B20" s="293" t="s">
        <v>885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10"/>
    </row>
    <row r="21" spans="1:16" ht="15" customHeight="1">
      <c r="A21" s="208"/>
      <c r="B21" s="293" t="s">
        <v>886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10"/>
    </row>
    <row r="22" spans="1:16" ht="15" customHeight="1">
      <c r="A22" s="208"/>
      <c r="B22" s="293" t="s">
        <v>887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10"/>
    </row>
    <row r="23" spans="1:16" ht="15" customHeight="1">
      <c r="A23" s="208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10"/>
    </row>
    <row r="24" spans="1:16" ht="1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10"/>
    </row>
    <row r="25" spans="1:16" ht="12.75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</row>
    <row r="26" spans="1:16" ht="12.75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</row>
    <row r="27" spans="1:16" ht="12.75">
      <c r="A27" s="294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</row>
    <row r="28" spans="1:16" ht="12.75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</row>
    <row r="29" spans="1:16" ht="12.75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</row>
    <row r="30" spans="1:16" ht="12.75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</row>
    <row r="31" spans="1:16" ht="15" customHeight="1">
      <c r="A31" s="208"/>
      <c r="B31" s="282" t="s">
        <v>888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</row>
    <row r="32" spans="1:16" ht="15" customHeight="1">
      <c r="A32" s="208"/>
      <c r="B32" s="295" t="s">
        <v>889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10"/>
    </row>
    <row r="33" spans="1:16" ht="15" customHeight="1">
      <c r="A33" s="210"/>
      <c r="B33" s="284" t="s">
        <v>890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10"/>
    </row>
    <row r="34" spans="1:16" ht="15" customHeight="1">
      <c r="A34" s="210"/>
      <c r="B34" s="285" t="s">
        <v>870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10"/>
    </row>
    <row r="35" spans="1:16" ht="12.75" customHeight="1">
      <c r="A35" s="210"/>
      <c r="B35" s="286" t="s">
        <v>871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10"/>
    </row>
    <row r="36" spans="1:16" ht="12.75" customHeight="1">
      <c r="A36" s="210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10"/>
    </row>
    <row r="37" spans="1:16" ht="15" customHeight="1">
      <c r="A37" s="210"/>
      <c r="B37" s="295" t="s">
        <v>891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10"/>
    </row>
    <row r="38" spans="1:16" ht="15" customHeight="1">
      <c r="A38" s="208"/>
      <c r="B38" s="284" t="s">
        <v>892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10"/>
    </row>
    <row r="39" spans="1:16" ht="15" customHeight="1">
      <c r="A39" s="208"/>
      <c r="B39" s="284" t="s">
        <v>893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10"/>
    </row>
    <row r="40" spans="1:16" ht="15.75" customHeight="1">
      <c r="A40" s="208"/>
      <c r="B40" s="211"/>
      <c r="C40" s="276" t="s">
        <v>451</v>
      </c>
      <c r="D40" s="276" t="s">
        <v>446</v>
      </c>
      <c r="E40" s="276"/>
      <c r="F40" s="276"/>
      <c r="G40" s="276"/>
      <c r="H40" s="276" t="s">
        <v>98</v>
      </c>
      <c r="I40" s="276"/>
      <c r="J40" s="276"/>
      <c r="K40" s="276" t="s">
        <v>121</v>
      </c>
      <c r="L40" s="276"/>
      <c r="M40" s="276"/>
      <c r="N40" s="276" t="s">
        <v>141</v>
      </c>
      <c r="O40" s="276"/>
      <c r="P40" s="210"/>
    </row>
    <row r="41" spans="1:16" ht="41.25" customHeight="1">
      <c r="A41" s="208"/>
      <c r="B41" s="55" t="s">
        <v>328</v>
      </c>
      <c r="C41" s="276"/>
      <c r="D41" s="56" t="s">
        <v>458</v>
      </c>
      <c r="E41" s="56" t="s">
        <v>31</v>
      </c>
      <c r="F41" s="56" t="s">
        <v>378</v>
      </c>
      <c r="G41" s="56" t="s">
        <v>441</v>
      </c>
      <c r="H41" s="56" t="s">
        <v>383</v>
      </c>
      <c r="I41" s="56" t="s">
        <v>105</v>
      </c>
      <c r="J41" s="56" t="s">
        <v>491</v>
      </c>
      <c r="K41" s="56" t="s">
        <v>308</v>
      </c>
      <c r="L41" s="56" t="s">
        <v>353</v>
      </c>
      <c r="M41" s="56" t="s">
        <v>69</v>
      </c>
      <c r="N41" s="57" t="s">
        <v>509</v>
      </c>
      <c r="O41" s="56" t="s">
        <v>55</v>
      </c>
      <c r="P41" s="210"/>
    </row>
    <row r="42" spans="1:16" ht="15.75">
      <c r="A42" s="208"/>
      <c r="B42" s="45">
        <v>1</v>
      </c>
      <c r="C42" s="60" t="s">
        <v>894</v>
      </c>
      <c r="D42" s="212" t="s">
        <v>857</v>
      </c>
      <c r="E42" s="212" t="s">
        <v>373</v>
      </c>
      <c r="F42" s="212" t="s">
        <v>59</v>
      </c>
      <c r="G42" s="212" t="s">
        <v>154</v>
      </c>
      <c r="H42" s="212" t="s">
        <v>507</v>
      </c>
      <c r="I42" s="212" t="s">
        <v>131</v>
      </c>
      <c r="J42" s="212" t="s">
        <v>507</v>
      </c>
      <c r="K42" s="45">
        <v>6</v>
      </c>
      <c r="L42" s="213">
        <v>7</v>
      </c>
      <c r="M42" s="214">
        <v>42</v>
      </c>
      <c r="N42" s="64">
        <v>3</v>
      </c>
      <c r="O42" s="215">
        <v>4</v>
      </c>
      <c r="P42" s="210"/>
    </row>
    <row r="43" spans="1:16" ht="30">
      <c r="A43" s="208"/>
      <c r="B43" s="45">
        <v>1</v>
      </c>
      <c r="C43" s="60" t="s">
        <v>881</v>
      </c>
      <c r="D43" s="212" t="s">
        <v>854</v>
      </c>
      <c r="E43" s="212" t="s">
        <v>467</v>
      </c>
      <c r="F43" s="212" t="s">
        <v>59</v>
      </c>
      <c r="G43" s="212" t="s">
        <v>154</v>
      </c>
      <c r="H43" s="212" t="s">
        <v>84</v>
      </c>
      <c r="I43" s="212" t="s">
        <v>507</v>
      </c>
      <c r="J43" s="212" t="s">
        <v>507</v>
      </c>
      <c r="K43" s="45">
        <v>3</v>
      </c>
      <c r="L43" s="213">
        <v>5</v>
      </c>
      <c r="M43" s="214">
        <v>15</v>
      </c>
      <c r="N43" s="64" t="s">
        <v>507</v>
      </c>
      <c r="O43" s="215" t="s">
        <v>507</v>
      </c>
      <c r="P43" s="210"/>
    </row>
    <row r="44" spans="1:16" ht="15" customHeight="1">
      <c r="A44" s="208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10"/>
    </row>
    <row r="45" spans="1:16" ht="15" customHeight="1">
      <c r="A45" s="210"/>
      <c r="B45" s="283" t="s">
        <v>895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09"/>
    </row>
    <row r="46" spans="1:16" ht="15.75" customHeight="1">
      <c r="A46" s="210"/>
      <c r="B46" s="291" t="s">
        <v>896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09"/>
    </row>
    <row r="47" spans="1:16" ht="15" customHeight="1">
      <c r="A47" s="208"/>
      <c r="B47" s="292" t="s">
        <v>897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09"/>
    </row>
    <row r="48" spans="1:16" ht="15" customHeight="1">
      <c r="A48" s="208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09"/>
    </row>
    <row r="49" spans="1:16" ht="15" customHeight="1">
      <c r="A49" s="210"/>
      <c r="B49" s="283" t="s">
        <v>898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09"/>
    </row>
    <row r="50" spans="1:16" ht="15" customHeight="1">
      <c r="A50" s="210"/>
      <c r="B50" s="293" t="s">
        <v>899</v>
      </c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09"/>
    </row>
    <row r="51" spans="1:16" ht="15" customHeight="1">
      <c r="A51" s="208"/>
      <c r="B51" s="293" t="s">
        <v>900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09"/>
    </row>
    <row r="52" spans="1:16" ht="15" customHeight="1">
      <c r="A52" s="208"/>
      <c r="B52" s="293" t="s">
        <v>901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09"/>
    </row>
    <row r="53" spans="1:16" ht="15" customHeight="1">
      <c r="A53" s="208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09"/>
    </row>
    <row r="54" spans="1:16" ht="1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</row>
    <row r="55" spans="1:16" ht="12.7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  <row r="56" spans="1:16" ht="12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</row>
    <row r="57" spans="1:16" ht="12.7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</row>
    <row r="58" spans="1:16" ht="15" customHeight="1">
      <c r="A58" s="208"/>
      <c r="B58" s="282" t="s">
        <v>902</v>
      </c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</row>
    <row r="59" spans="1:16" ht="15" customHeight="1">
      <c r="A59" s="208"/>
      <c r="B59" s="295" t="s">
        <v>903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10"/>
    </row>
    <row r="60" spans="1:16" ht="15" customHeight="1">
      <c r="A60" s="210"/>
      <c r="B60" s="284" t="s">
        <v>904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10"/>
    </row>
    <row r="61" spans="1:16" ht="15" customHeight="1">
      <c r="A61" s="210"/>
      <c r="B61" s="285" t="s">
        <v>870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10"/>
    </row>
    <row r="62" spans="1:16" ht="12.75" customHeight="1">
      <c r="A62" s="210"/>
      <c r="B62" s="286" t="s">
        <v>871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10"/>
    </row>
    <row r="63" spans="1:16" ht="12.75" customHeight="1">
      <c r="A63" s="210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10"/>
    </row>
    <row r="64" spans="1:16" ht="15" customHeight="1">
      <c r="A64" s="210"/>
      <c r="B64" s="295" t="s">
        <v>905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10"/>
    </row>
    <row r="65" spans="1:16" ht="15" customHeight="1">
      <c r="A65" s="208"/>
      <c r="B65" s="284" t="s">
        <v>906</v>
      </c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10"/>
    </row>
    <row r="66" spans="1:16" ht="15" customHeight="1">
      <c r="A66" s="208"/>
      <c r="B66" s="284" t="s">
        <v>907</v>
      </c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10"/>
    </row>
    <row r="67" spans="1:16" ht="15.75" customHeight="1">
      <c r="A67" s="208"/>
      <c r="B67" s="54"/>
      <c r="C67" s="276" t="s">
        <v>452</v>
      </c>
      <c r="D67" s="276" t="s">
        <v>447</v>
      </c>
      <c r="E67" s="276"/>
      <c r="F67" s="276"/>
      <c r="G67" s="276"/>
      <c r="H67" s="276" t="s">
        <v>99</v>
      </c>
      <c r="I67" s="276"/>
      <c r="J67" s="276"/>
      <c r="K67" s="276" t="s">
        <v>122</v>
      </c>
      <c r="L67" s="276"/>
      <c r="M67" s="276"/>
      <c r="N67" s="276" t="s">
        <v>142</v>
      </c>
      <c r="O67" s="276"/>
      <c r="P67" s="210"/>
    </row>
    <row r="68" spans="1:16" ht="45">
      <c r="A68" s="208"/>
      <c r="B68" s="55" t="s">
        <v>329</v>
      </c>
      <c r="C68" s="276"/>
      <c r="D68" s="56" t="s">
        <v>459</v>
      </c>
      <c r="E68" s="56" t="s">
        <v>32</v>
      </c>
      <c r="F68" s="56" t="s">
        <v>379</v>
      </c>
      <c r="G68" s="56" t="s">
        <v>442</v>
      </c>
      <c r="H68" s="56" t="s">
        <v>384</v>
      </c>
      <c r="I68" s="56" t="s">
        <v>106</v>
      </c>
      <c r="J68" s="56" t="s">
        <v>492</v>
      </c>
      <c r="K68" s="56" t="s">
        <v>309</v>
      </c>
      <c r="L68" s="56" t="s">
        <v>354</v>
      </c>
      <c r="M68" s="56" t="s">
        <v>70</v>
      </c>
      <c r="N68" s="57" t="s">
        <v>509</v>
      </c>
      <c r="O68" s="56" t="s">
        <v>54</v>
      </c>
      <c r="P68" s="210"/>
    </row>
    <row r="69" spans="1:16" ht="30">
      <c r="A69" s="208"/>
      <c r="B69" s="45">
        <v>1</v>
      </c>
      <c r="C69" s="60" t="s">
        <v>908</v>
      </c>
      <c r="D69" s="212" t="s">
        <v>857</v>
      </c>
      <c r="E69" s="212" t="s">
        <v>374</v>
      </c>
      <c r="F69" s="212" t="s">
        <v>909</v>
      </c>
      <c r="G69" s="212" t="s">
        <v>155</v>
      </c>
      <c r="H69" s="212" t="s">
        <v>507</v>
      </c>
      <c r="I69" s="212" t="s">
        <v>910</v>
      </c>
      <c r="J69" s="212" t="s">
        <v>507</v>
      </c>
      <c r="K69" s="45">
        <v>6</v>
      </c>
      <c r="L69" s="213">
        <v>7</v>
      </c>
      <c r="M69" s="214">
        <v>42</v>
      </c>
      <c r="N69" s="64">
        <v>3</v>
      </c>
      <c r="O69" s="215">
        <v>4</v>
      </c>
      <c r="P69" s="210"/>
    </row>
    <row r="70" spans="1:16" ht="30">
      <c r="A70" s="208"/>
      <c r="B70" s="45">
        <v>1</v>
      </c>
      <c r="C70" s="60" t="s">
        <v>911</v>
      </c>
      <c r="D70" s="212" t="s">
        <v>854</v>
      </c>
      <c r="E70" s="212" t="s">
        <v>468</v>
      </c>
      <c r="F70" s="212" t="s">
        <v>909</v>
      </c>
      <c r="G70" s="212" t="s">
        <v>155</v>
      </c>
      <c r="H70" s="212" t="s">
        <v>85</v>
      </c>
      <c r="I70" s="212" t="s">
        <v>507</v>
      </c>
      <c r="J70" s="212" t="s">
        <v>507</v>
      </c>
      <c r="K70" s="45">
        <v>3</v>
      </c>
      <c r="L70" s="213">
        <v>5</v>
      </c>
      <c r="M70" s="214">
        <v>15</v>
      </c>
      <c r="N70" s="64" t="s">
        <v>507</v>
      </c>
      <c r="O70" s="215" t="s">
        <v>507</v>
      </c>
      <c r="P70" s="210"/>
    </row>
    <row r="71" spans="1:16" ht="15" customHeight="1">
      <c r="A71" s="208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10"/>
    </row>
    <row r="72" spans="1:16" ht="15" customHeight="1">
      <c r="A72" s="210"/>
      <c r="B72" s="283" t="s">
        <v>912</v>
      </c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10"/>
    </row>
    <row r="73" spans="1:16" ht="15.75" customHeight="1">
      <c r="A73" s="210"/>
      <c r="B73" s="291" t="s">
        <v>913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10"/>
    </row>
    <row r="74" spans="1:16" ht="15" customHeight="1">
      <c r="A74" s="208"/>
      <c r="B74" s="292" t="s">
        <v>914</v>
      </c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10"/>
    </row>
    <row r="75" spans="1:16" ht="15" customHeight="1">
      <c r="A75" s="208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10"/>
    </row>
    <row r="76" spans="1:16" ht="15" customHeight="1">
      <c r="A76" s="210"/>
      <c r="B76" s="283" t="s">
        <v>915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10"/>
    </row>
    <row r="77" spans="1:16" ht="15" customHeight="1">
      <c r="A77" s="210"/>
      <c r="B77" s="293" t="s">
        <v>916</v>
      </c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10"/>
    </row>
    <row r="78" spans="1:16" ht="15" customHeight="1">
      <c r="A78" s="208"/>
      <c r="B78" s="293" t="s">
        <v>917</v>
      </c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10"/>
    </row>
    <row r="79" spans="1:16" ht="15" customHeight="1">
      <c r="A79" s="208"/>
      <c r="B79" s="293" t="s">
        <v>918</v>
      </c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10"/>
    </row>
    <row r="80" spans="1:16" ht="15" customHeight="1">
      <c r="A80" s="208"/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10"/>
    </row>
    <row r="81" spans="1:16" ht="1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10"/>
    </row>
  </sheetData>
  <sheetProtection selectLockedCells="1" selectUnlockedCells="1"/>
  <mergeCells count="73">
    <mergeCell ref="B77:O77"/>
    <mergeCell ref="B78:O78"/>
    <mergeCell ref="B79:O79"/>
    <mergeCell ref="B80:O80"/>
    <mergeCell ref="B71:O71"/>
    <mergeCell ref="B72:O72"/>
    <mergeCell ref="B73:O73"/>
    <mergeCell ref="B74:O74"/>
    <mergeCell ref="B75:O75"/>
    <mergeCell ref="B76:O76"/>
    <mergeCell ref="B66:O66"/>
    <mergeCell ref="C67:C68"/>
    <mergeCell ref="D67:G67"/>
    <mergeCell ref="H67:J67"/>
    <mergeCell ref="K67:M67"/>
    <mergeCell ref="N67:O67"/>
    <mergeCell ref="B60:O60"/>
    <mergeCell ref="B61:O61"/>
    <mergeCell ref="B62:O62"/>
    <mergeCell ref="B63:O63"/>
    <mergeCell ref="B64:O64"/>
    <mergeCell ref="B65:O65"/>
    <mergeCell ref="B50:O50"/>
    <mergeCell ref="B51:O51"/>
    <mergeCell ref="B52:O52"/>
    <mergeCell ref="B53:O53"/>
    <mergeCell ref="B58:P58"/>
    <mergeCell ref="B59:O59"/>
    <mergeCell ref="B44:O44"/>
    <mergeCell ref="B45:O45"/>
    <mergeCell ref="B46:O46"/>
    <mergeCell ref="B47:O47"/>
    <mergeCell ref="B48:O48"/>
    <mergeCell ref="B49:O49"/>
    <mergeCell ref="B38:O38"/>
    <mergeCell ref="B39:O39"/>
    <mergeCell ref="C40:C41"/>
    <mergeCell ref="D40:G40"/>
    <mergeCell ref="H40:J40"/>
    <mergeCell ref="K40:M40"/>
    <mergeCell ref="N40:O40"/>
    <mergeCell ref="B32:O32"/>
    <mergeCell ref="B33:O33"/>
    <mergeCell ref="B34:O34"/>
    <mergeCell ref="B35:O35"/>
    <mergeCell ref="B36:O36"/>
    <mergeCell ref="B37:O37"/>
    <mergeCell ref="B20:O20"/>
    <mergeCell ref="B21:O21"/>
    <mergeCell ref="B22:O22"/>
    <mergeCell ref="B23:O23"/>
    <mergeCell ref="A25:P30"/>
    <mergeCell ref="B31:P31"/>
    <mergeCell ref="B14:O14"/>
    <mergeCell ref="B15:O15"/>
    <mergeCell ref="B16:O16"/>
    <mergeCell ref="B17:O17"/>
    <mergeCell ref="B18:O18"/>
    <mergeCell ref="B19:O19"/>
    <mergeCell ref="B7:O7"/>
    <mergeCell ref="B8:O8"/>
    <mergeCell ref="B9:O9"/>
    <mergeCell ref="C10:C11"/>
    <mergeCell ref="D10:G10"/>
    <mergeCell ref="H10:J10"/>
    <mergeCell ref="K10:M10"/>
    <mergeCell ref="N10:O10"/>
    <mergeCell ref="B1:P1"/>
    <mergeCell ref="B2:O2"/>
    <mergeCell ref="B3:O3"/>
    <mergeCell ref="B4:O4"/>
    <mergeCell ref="B5:O5"/>
    <mergeCell ref="B6:O6"/>
  </mergeCells>
  <dataValidations count="7">
    <dataValidation type="list" allowBlank="1" showErrorMessage="1" sqref="G12:G13 G42:G43 G69:G70">
      <formula1>Training</formula1>
      <formula2>0</formula2>
    </dataValidation>
    <dataValidation type="list" allowBlank="1" showErrorMessage="1" sqref="F12:F13 F42:F43 F69:F70">
      <formula1>Quality</formula1>
      <formula2>0</formula2>
    </dataValidation>
    <dataValidation type="list" allowBlank="1" showErrorMessage="1" sqref="D12:D13 D42:D43 D69:D70">
      <formula1>Type</formula1>
      <formula2>0</formula2>
    </dataValidation>
    <dataValidation type="list" allowBlank="1" showErrorMessage="1" sqref="E12:E13 E42:E43 E69:E70">
      <formula1>Armure</formula1>
      <formula2>0</formula2>
    </dataValidation>
    <dataValidation type="list" allowBlank="1" showErrorMessage="1" sqref="I12:I13 I42:I43 I69:I70">
      <formula1>Combat</formula1>
      <formula2>0</formula2>
    </dataValidation>
    <dataValidation type="list" allowBlank="1" showErrorMessage="1" sqref="H12:H13 H42:H43 H69:H70">
      <formula1>Tir</formula1>
      <formula2>0</formula2>
    </dataValidation>
    <dataValidation type="list" allowBlank="1" showErrorMessage="1" sqref="J12:J13 J42:J43 J69:J70">
      <formula1>Divers</formula1>
      <formula2>0</formula2>
    </dataValidation>
  </dataValidations>
  <hyperlinks>
    <hyperlink ref="B4" r:id="rId1" display=" http://www.fieldofglory.fr/spip.php?article2"/>
    <hyperlink ref="B5" r:id="rId2" display="www.fieldofglory.com"/>
    <hyperlink ref="B34" r:id="rId3" display=" http://www.fieldofglory.fr/spip.php?article2"/>
    <hyperlink ref="B35" r:id="rId4" display="www.fieldofglory.com"/>
    <hyperlink ref="B61" r:id="rId5" display=" http://www.fieldofglory.fr/spip.php?article2"/>
    <hyperlink ref="B62" r:id="rId6" display="www.fieldofglory.com"/>
  </hyperlinks>
  <printOptions/>
  <pageMargins left="0.7" right="0.7" top="0.75" bottom="0.75" header="0.5118055555555555" footer="0.5118055555555555"/>
  <pageSetup horizontalDpi="300" verticalDpi="300" orientation="portrait" paperSize="9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V9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V4" sqref="V4"/>
    </sheetView>
  </sheetViews>
  <sheetFormatPr defaultColWidth="11.421875" defaultRowHeight="12.75"/>
  <cols>
    <col min="1" max="1" width="1.8515625" style="0" customWidth="1"/>
    <col min="2" max="2" width="5.7109375" style="216" customWidth="1"/>
    <col min="3" max="3" width="3.140625" style="216" customWidth="1"/>
    <col min="4" max="4" width="8.00390625" style="216" customWidth="1"/>
    <col min="5" max="5" width="13.421875" style="216" customWidth="1"/>
    <col min="6" max="6" width="11.421875" style="0" customWidth="1"/>
    <col min="7" max="7" width="10.421875" style="0" customWidth="1"/>
    <col min="8" max="8" width="4.8515625" style="0" customWidth="1"/>
    <col min="9" max="9" width="7.00390625" style="0" customWidth="1"/>
    <col min="10" max="10" width="7.421875" style="0" customWidth="1"/>
    <col min="11" max="11" width="9.421875" style="0" customWidth="1"/>
    <col min="12" max="12" width="8.00390625" style="0" customWidth="1"/>
    <col min="13" max="13" width="10.00390625" style="0" customWidth="1"/>
    <col min="14" max="14" width="9.57421875" style="0" customWidth="1"/>
    <col min="15" max="15" width="6.57421875" style="0" customWidth="1"/>
    <col min="16" max="16" width="9.28125" style="0" customWidth="1"/>
    <col min="17" max="17" width="7.7109375" style="0" customWidth="1"/>
    <col min="18" max="18" width="8.421875" style="0" customWidth="1"/>
    <col min="19" max="19" width="9.7109375" style="0" customWidth="1"/>
    <col min="20" max="20" width="8.421875" style="0" customWidth="1"/>
    <col min="21" max="21" width="1.7109375" style="0" customWidth="1"/>
  </cols>
  <sheetData>
    <row r="1" spans="1:21" ht="12.75" customHeight="1">
      <c r="A1" s="210"/>
      <c r="B1" s="210"/>
      <c r="C1" s="210"/>
      <c r="D1" s="210"/>
      <c r="E1" s="210"/>
      <c r="F1" s="282" t="s">
        <v>1</v>
      </c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10"/>
    </row>
    <row r="2" spans="1:21" ht="12.75" customHeight="1">
      <c r="A2" s="217"/>
      <c r="B2" s="297" t="s">
        <v>919</v>
      </c>
      <c r="C2" s="297"/>
      <c r="D2" s="218"/>
      <c r="E2" s="21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10"/>
    </row>
    <row r="3" spans="1:22" ht="12.75" customHeight="1">
      <c r="A3" s="210"/>
      <c r="B3" s="220">
        <v>3</v>
      </c>
      <c r="C3" s="221" t="s">
        <v>507</v>
      </c>
      <c r="D3" s="299" t="s">
        <v>920</v>
      </c>
      <c r="E3" s="299"/>
      <c r="F3" s="300" t="s">
        <v>921</v>
      </c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210"/>
      <c r="V3" s="9"/>
    </row>
    <row r="4" spans="1:22" ht="12.75" customHeight="1">
      <c r="A4" s="210"/>
      <c r="B4" s="222"/>
      <c r="C4" s="218" t="s">
        <v>507</v>
      </c>
      <c r="D4" s="301" t="s">
        <v>922</v>
      </c>
      <c r="E4" s="301"/>
      <c r="F4" s="302" t="s">
        <v>923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224"/>
      <c r="T4" s="224"/>
      <c r="U4" s="210"/>
      <c r="V4" s="9"/>
    </row>
    <row r="5" spans="1:22" ht="12.75" customHeight="1">
      <c r="A5" s="210"/>
      <c r="B5" s="222"/>
      <c r="C5" s="218" t="s">
        <v>507</v>
      </c>
      <c r="D5" s="301" t="s">
        <v>323</v>
      </c>
      <c r="E5" s="301"/>
      <c r="F5" s="302" t="s">
        <v>924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224"/>
      <c r="T5" s="224"/>
      <c r="U5" s="210"/>
      <c r="V5" s="9"/>
    </row>
    <row r="6" spans="1:22" ht="12.75" customHeight="1">
      <c r="A6" s="210"/>
      <c r="B6" s="222"/>
      <c r="C6" s="218" t="s">
        <v>507</v>
      </c>
      <c r="D6" s="301" t="s">
        <v>925</v>
      </c>
      <c r="E6" s="301"/>
      <c r="F6" s="302" t="s">
        <v>926</v>
      </c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24"/>
      <c r="T6" s="224"/>
      <c r="U6" s="225"/>
      <c r="V6" s="226"/>
    </row>
    <row r="7" spans="1:22" ht="12.75" customHeight="1">
      <c r="A7" s="210"/>
      <c r="B7" s="222"/>
      <c r="C7" s="218" t="s">
        <v>507</v>
      </c>
      <c r="D7" s="301" t="s">
        <v>927</v>
      </c>
      <c r="E7" s="301"/>
      <c r="F7" s="302" t="s">
        <v>928</v>
      </c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224"/>
      <c r="T7" s="224"/>
      <c r="U7" s="210"/>
      <c r="V7" s="9"/>
    </row>
    <row r="8" spans="1:21" ht="12.75" customHeight="1">
      <c r="A8" s="210"/>
      <c r="B8" s="222"/>
      <c r="C8" s="218" t="s">
        <v>507</v>
      </c>
      <c r="D8" s="303" t="s">
        <v>929</v>
      </c>
      <c r="E8" s="303"/>
      <c r="F8" s="304" t="s">
        <v>930</v>
      </c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224"/>
      <c r="T8" s="224"/>
      <c r="U8" s="210"/>
    </row>
    <row r="9" spans="1:21" ht="12.75" customHeight="1">
      <c r="A9" s="210"/>
      <c r="B9" s="227">
        <v>2.5</v>
      </c>
      <c r="C9" s="228" t="s">
        <v>507</v>
      </c>
      <c r="D9" s="301" t="s">
        <v>931</v>
      </c>
      <c r="E9" s="301"/>
      <c r="F9" s="305" t="s">
        <v>932</v>
      </c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210"/>
    </row>
    <row r="10" spans="1:21" ht="12.75" customHeight="1">
      <c r="A10" s="210"/>
      <c r="B10" s="222"/>
      <c r="C10" s="229" t="s">
        <v>507</v>
      </c>
      <c r="D10" s="301" t="s">
        <v>323</v>
      </c>
      <c r="E10" s="301"/>
      <c r="F10" s="306" t="s">
        <v>933</v>
      </c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210"/>
    </row>
    <row r="11" spans="1:21" ht="12.75" customHeight="1">
      <c r="A11" s="210"/>
      <c r="B11" s="222"/>
      <c r="C11" s="229" t="s">
        <v>507</v>
      </c>
      <c r="D11" s="301" t="s">
        <v>934</v>
      </c>
      <c r="E11" s="301"/>
      <c r="F11" s="306" t="s">
        <v>935</v>
      </c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210"/>
    </row>
    <row r="12" spans="1:21" ht="12.75" customHeight="1">
      <c r="A12" s="210"/>
      <c r="B12" s="222"/>
      <c r="C12" s="229" t="s">
        <v>507</v>
      </c>
      <c r="D12" s="301" t="s">
        <v>936</v>
      </c>
      <c r="E12" s="301"/>
      <c r="F12" s="306" t="s">
        <v>937</v>
      </c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210"/>
    </row>
    <row r="13" spans="1:21" ht="12.75" customHeight="1">
      <c r="A13" s="210"/>
      <c r="B13" s="222"/>
      <c r="C13" s="229"/>
      <c r="D13" s="301"/>
      <c r="E13" s="301"/>
      <c r="F13" s="306" t="s">
        <v>938</v>
      </c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210"/>
    </row>
    <row r="14" spans="1:21" ht="12.75" customHeight="1">
      <c r="A14" s="210"/>
      <c r="B14" s="222"/>
      <c r="C14" s="229"/>
      <c r="D14" s="301" t="s">
        <v>588</v>
      </c>
      <c r="E14" s="301"/>
      <c r="F14" s="230" t="s">
        <v>939</v>
      </c>
      <c r="G14" s="307" t="str">
        <f ca="1">VLOOKUP("Page Number",Zone_Traduction,ref_langue,FALSE)</f>
        <v>Page Number</v>
      </c>
      <c r="H14" s="307"/>
      <c r="I14" s="308" t="str">
        <f ca="1">VLOOKUP("Book Name",Zone_Traduction,ref_langue,FALSE)</f>
        <v>Book Name</v>
      </c>
      <c r="J14" s="308"/>
      <c r="K14" s="308"/>
      <c r="L14" s="308" t="str">
        <f ca="1">VLOOKUP("List Name",Zone_Traduction,ref_langue,FALSE)</f>
        <v>List Name</v>
      </c>
      <c r="M14" s="308"/>
      <c r="N14" s="231"/>
      <c r="O14" s="223"/>
      <c r="P14" s="223"/>
      <c r="Q14" s="223"/>
      <c r="R14" s="223"/>
      <c r="S14" s="223"/>
      <c r="T14" s="223"/>
      <c r="U14" s="210"/>
    </row>
    <row r="15" spans="1:21" ht="12.75" customHeight="1">
      <c r="A15" s="210"/>
      <c r="B15" s="222"/>
      <c r="C15" s="229"/>
      <c r="D15" s="301"/>
      <c r="E15" s="301"/>
      <c r="F15" s="230"/>
      <c r="G15" s="309">
        <v>23</v>
      </c>
      <c r="H15" s="309"/>
      <c r="I15" s="310" t="s">
        <v>496</v>
      </c>
      <c r="J15" s="310"/>
      <c r="K15" s="310"/>
      <c r="L15" s="311" t="s">
        <v>684</v>
      </c>
      <c r="M15" s="311"/>
      <c r="N15" s="232"/>
      <c r="O15" s="223"/>
      <c r="P15" s="223"/>
      <c r="Q15" s="223"/>
      <c r="R15" s="223"/>
      <c r="S15" s="223"/>
      <c r="T15" s="223"/>
      <c r="U15" s="210"/>
    </row>
    <row r="16" spans="1:21" ht="12.75" customHeight="1">
      <c r="A16" s="210"/>
      <c r="B16" s="222"/>
      <c r="C16" s="229" t="s">
        <v>507</v>
      </c>
      <c r="D16" s="301" t="s">
        <v>940</v>
      </c>
      <c r="E16" s="301"/>
      <c r="F16" s="306" t="s">
        <v>941</v>
      </c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210"/>
    </row>
    <row r="17" spans="1:21" ht="12.75" customHeight="1">
      <c r="A17" s="210"/>
      <c r="B17" s="233"/>
      <c r="C17" s="234" t="s">
        <v>507</v>
      </c>
      <c r="D17" s="301" t="s">
        <v>63</v>
      </c>
      <c r="E17" s="301"/>
      <c r="F17" s="312" t="s">
        <v>942</v>
      </c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210"/>
    </row>
    <row r="18" spans="1:21" ht="12.75" customHeight="1">
      <c r="A18" s="210"/>
      <c r="B18" s="235">
        <v>2.4</v>
      </c>
      <c r="C18" s="236" t="s">
        <v>507</v>
      </c>
      <c r="D18" s="299" t="s">
        <v>943</v>
      </c>
      <c r="E18" s="299"/>
      <c r="F18" s="313" t="s">
        <v>944</v>
      </c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210"/>
    </row>
    <row r="19" spans="1:21" ht="12.75" customHeight="1">
      <c r="A19" s="210"/>
      <c r="B19" s="222" t="s">
        <v>945</v>
      </c>
      <c r="C19" s="218" t="s">
        <v>507</v>
      </c>
      <c r="D19" s="299" t="s">
        <v>920</v>
      </c>
      <c r="E19" s="299"/>
      <c r="F19" s="314" t="s">
        <v>946</v>
      </c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210"/>
    </row>
    <row r="20" spans="1:21" ht="12.75" customHeight="1">
      <c r="A20" s="210"/>
      <c r="B20" s="237"/>
      <c r="C20" s="218" t="s">
        <v>507</v>
      </c>
      <c r="D20" s="301" t="s">
        <v>920</v>
      </c>
      <c r="E20" s="301"/>
      <c r="F20" s="302" t="s">
        <v>947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210"/>
    </row>
    <row r="21" spans="1:21" ht="12.75" customHeight="1">
      <c r="A21" s="210"/>
      <c r="B21" s="238"/>
      <c r="C21" s="238" t="s">
        <v>507</v>
      </c>
      <c r="D21" s="301" t="s">
        <v>948</v>
      </c>
      <c r="E21" s="301"/>
      <c r="F21" s="304" t="s">
        <v>949</v>
      </c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210"/>
    </row>
    <row r="22" spans="1:21" ht="12.75" customHeight="1">
      <c r="A22" s="210"/>
      <c r="B22" s="237" t="s">
        <v>950</v>
      </c>
      <c r="C22" s="218" t="s">
        <v>507</v>
      </c>
      <c r="D22" s="299" t="s">
        <v>920</v>
      </c>
      <c r="E22" s="299"/>
      <c r="F22" s="314" t="s">
        <v>951</v>
      </c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210"/>
    </row>
    <row r="23" spans="1:21" ht="12.75" customHeight="1">
      <c r="A23" s="210"/>
      <c r="B23" s="238"/>
      <c r="C23" s="238" t="s">
        <v>507</v>
      </c>
      <c r="D23" s="303" t="s">
        <v>952</v>
      </c>
      <c r="E23" s="303"/>
      <c r="F23" s="304" t="s">
        <v>953</v>
      </c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210"/>
    </row>
    <row r="24" spans="1:21" ht="12.75" customHeight="1">
      <c r="A24" s="210"/>
      <c r="B24" s="237" t="s">
        <v>954</v>
      </c>
      <c r="C24" s="229" t="s">
        <v>507</v>
      </c>
      <c r="D24" s="301" t="s">
        <v>955</v>
      </c>
      <c r="E24" s="301"/>
      <c r="F24" s="305" t="s">
        <v>956</v>
      </c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210"/>
    </row>
    <row r="25" spans="1:21" ht="12.75" customHeight="1">
      <c r="A25" s="210"/>
      <c r="B25" s="237"/>
      <c r="C25" s="229" t="s">
        <v>507</v>
      </c>
      <c r="D25" s="301" t="s">
        <v>952</v>
      </c>
      <c r="E25" s="301"/>
      <c r="F25" s="306" t="s">
        <v>957</v>
      </c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210"/>
    </row>
    <row r="26" spans="1:21" ht="12.75" customHeight="1">
      <c r="A26" s="210"/>
      <c r="B26" s="237"/>
      <c r="C26" s="229" t="s">
        <v>507</v>
      </c>
      <c r="D26" s="301" t="s">
        <v>958</v>
      </c>
      <c r="E26" s="301"/>
      <c r="F26" s="306" t="s">
        <v>959</v>
      </c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210"/>
    </row>
    <row r="27" spans="1:21" ht="12.75" customHeight="1">
      <c r="A27" s="210"/>
      <c r="B27" s="238"/>
      <c r="C27" s="234" t="s">
        <v>507</v>
      </c>
      <c r="D27" s="303" t="s">
        <v>960</v>
      </c>
      <c r="E27" s="303"/>
      <c r="F27" s="312" t="s">
        <v>961</v>
      </c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210"/>
    </row>
    <row r="28" spans="1:21" ht="12.75" customHeight="1">
      <c r="A28" s="210"/>
      <c r="B28" s="237" t="s">
        <v>962</v>
      </c>
      <c r="C28" s="218" t="s">
        <v>507</v>
      </c>
      <c r="D28" s="299" t="s">
        <v>920</v>
      </c>
      <c r="E28" s="299"/>
      <c r="F28" s="314" t="s">
        <v>963</v>
      </c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210"/>
    </row>
    <row r="29" spans="1:21" ht="12.75" customHeight="1">
      <c r="A29" s="210"/>
      <c r="B29" s="237"/>
      <c r="C29" s="218" t="s">
        <v>507</v>
      </c>
      <c r="D29" s="301" t="s">
        <v>964</v>
      </c>
      <c r="E29" s="301"/>
      <c r="F29" s="302" t="s">
        <v>965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210"/>
    </row>
    <row r="30" spans="1:21" ht="12.75" customHeight="1">
      <c r="A30" s="210"/>
      <c r="B30" s="237"/>
      <c r="C30" s="218" t="s">
        <v>507</v>
      </c>
      <c r="D30" s="301" t="s">
        <v>966</v>
      </c>
      <c r="E30" s="301"/>
      <c r="F30" s="302" t="s">
        <v>967</v>
      </c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210"/>
    </row>
    <row r="31" spans="1:21" ht="12.75" customHeight="1">
      <c r="A31" s="210"/>
      <c r="B31" s="237"/>
      <c r="C31" s="218" t="s">
        <v>507</v>
      </c>
      <c r="D31" s="301" t="s">
        <v>958</v>
      </c>
      <c r="E31" s="301"/>
      <c r="F31" s="302" t="s">
        <v>968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210"/>
    </row>
    <row r="32" spans="1:21" ht="12.75" customHeight="1">
      <c r="A32" s="210"/>
      <c r="B32" s="237"/>
      <c r="C32" s="218" t="s">
        <v>507</v>
      </c>
      <c r="D32" s="301" t="s">
        <v>969</v>
      </c>
      <c r="E32" s="301"/>
      <c r="F32" s="302" t="s">
        <v>970</v>
      </c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210"/>
    </row>
    <row r="33" spans="1:21" ht="12.75" customHeight="1">
      <c r="A33" s="210"/>
      <c r="B33" s="237"/>
      <c r="C33" s="218" t="s">
        <v>507</v>
      </c>
      <c r="D33" s="301" t="s">
        <v>971</v>
      </c>
      <c r="E33" s="301"/>
      <c r="F33" s="302" t="s">
        <v>972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210"/>
    </row>
    <row r="34" spans="1:21" ht="12.75" customHeight="1">
      <c r="A34" s="210"/>
      <c r="B34" s="237"/>
      <c r="C34" s="218" t="s">
        <v>507</v>
      </c>
      <c r="D34" s="301" t="s">
        <v>973</v>
      </c>
      <c r="E34" s="301"/>
      <c r="F34" s="302" t="s">
        <v>974</v>
      </c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210"/>
    </row>
    <row r="35" spans="1:21" ht="12.75" customHeight="1">
      <c r="A35" s="210"/>
      <c r="B35" s="238"/>
      <c r="C35" s="238" t="s">
        <v>507</v>
      </c>
      <c r="D35" s="303" t="s">
        <v>21</v>
      </c>
      <c r="E35" s="303"/>
      <c r="F35" s="304" t="s">
        <v>975</v>
      </c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210"/>
    </row>
    <row r="36" spans="1:21" ht="12.75" customHeight="1">
      <c r="A36" s="210"/>
      <c r="B36" s="237">
        <v>1.7</v>
      </c>
      <c r="C36" s="229" t="s">
        <v>507</v>
      </c>
      <c r="D36" s="299" t="s">
        <v>976</v>
      </c>
      <c r="E36" s="299"/>
      <c r="F36" s="302" t="s">
        <v>977</v>
      </c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210"/>
    </row>
    <row r="37" spans="1:21" ht="12.75" customHeight="1">
      <c r="A37" s="210"/>
      <c r="B37" s="237"/>
      <c r="C37" s="229" t="s">
        <v>507</v>
      </c>
      <c r="D37" s="301" t="s">
        <v>978</v>
      </c>
      <c r="E37" s="301"/>
      <c r="F37" s="306" t="s">
        <v>979</v>
      </c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210"/>
    </row>
    <row r="38" spans="1:21" ht="12.75" customHeight="1">
      <c r="A38" s="210"/>
      <c r="B38" s="237"/>
      <c r="C38" s="229" t="s">
        <v>507</v>
      </c>
      <c r="D38" s="301" t="s">
        <v>378</v>
      </c>
      <c r="E38" s="301"/>
      <c r="F38" s="302" t="s">
        <v>980</v>
      </c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210"/>
    </row>
    <row r="39" spans="1:21" ht="12.75" customHeight="1">
      <c r="A39" s="210"/>
      <c r="B39" s="238"/>
      <c r="C39" s="234" t="s">
        <v>507</v>
      </c>
      <c r="D39" s="303" t="s">
        <v>920</v>
      </c>
      <c r="E39" s="303"/>
      <c r="F39" s="312" t="s">
        <v>981</v>
      </c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210"/>
    </row>
    <row r="40" spans="1:21" ht="12.75" customHeight="1">
      <c r="A40" s="210"/>
      <c r="B40" s="237">
        <v>1.6</v>
      </c>
      <c r="C40" s="229" t="s">
        <v>507</v>
      </c>
      <c r="D40" s="299" t="s">
        <v>64</v>
      </c>
      <c r="E40" s="299"/>
      <c r="F40" s="302" t="s">
        <v>982</v>
      </c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210"/>
    </row>
    <row r="41" spans="1:21" ht="12.75" customHeight="1">
      <c r="A41" s="210"/>
      <c r="B41" s="237"/>
      <c r="C41" s="229" t="s">
        <v>507</v>
      </c>
      <c r="D41" s="301" t="s">
        <v>978</v>
      </c>
      <c r="E41" s="301"/>
      <c r="F41" s="302" t="s">
        <v>983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210"/>
    </row>
    <row r="42" spans="1:21" ht="12.75" customHeight="1">
      <c r="A42" s="210"/>
      <c r="B42" s="238"/>
      <c r="C42" s="234" t="s">
        <v>507</v>
      </c>
      <c r="D42" s="301" t="s">
        <v>984</v>
      </c>
      <c r="E42" s="301"/>
      <c r="F42" s="302" t="s">
        <v>985</v>
      </c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210"/>
    </row>
    <row r="43" spans="1:21" ht="12.75" customHeight="1">
      <c r="A43" s="210"/>
      <c r="B43" s="237">
        <v>1.5</v>
      </c>
      <c r="C43" s="229" t="s">
        <v>507</v>
      </c>
      <c r="D43" s="299" t="s">
        <v>964</v>
      </c>
      <c r="E43" s="299"/>
      <c r="F43" s="305" t="s">
        <v>986</v>
      </c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210"/>
    </row>
    <row r="44" spans="1:21" ht="12.75" customHeight="1">
      <c r="A44" s="210"/>
      <c r="B44" s="237"/>
      <c r="C44" s="229" t="s">
        <v>507</v>
      </c>
      <c r="D44" s="301" t="s">
        <v>987</v>
      </c>
      <c r="E44" s="301"/>
      <c r="F44" s="302" t="s">
        <v>988</v>
      </c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210"/>
    </row>
    <row r="45" spans="1:21" ht="12.75" customHeight="1">
      <c r="A45" s="210"/>
      <c r="B45" s="237"/>
      <c r="C45" s="229" t="s">
        <v>507</v>
      </c>
      <c r="D45" s="301" t="s">
        <v>989</v>
      </c>
      <c r="E45" s="301"/>
      <c r="F45" s="302" t="s">
        <v>990</v>
      </c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210"/>
    </row>
    <row r="46" spans="1:21" ht="12.75" customHeight="1">
      <c r="A46" s="210"/>
      <c r="B46" s="237"/>
      <c r="C46" s="229" t="s">
        <v>507</v>
      </c>
      <c r="D46" s="301" t="s">
        <v>966</v>
      </c>
      <c r="E46" s="301"/>
      <c r="F46" s="302" t="s">
        <v>991</v>
      </c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210"/>
    </row>
    <row r="47" spans="1:21" ht="12.75" customHeight="1">
      <c r="A47" s="210"/>
      <c r="B47" s="237"/>
      <c r="C47" s="229" t="s">
        <v>507</v>
      </c>
      <c r="D47" s="301" t="s">
        <v>992</v>
      </c>
      <c r="E47" s="301"/>
      <c r="F47" s="302" t="s">
        <v>993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210"/>
    </row>
    <row r="48" spans="1:21" ht="12.75" customHeight="1">
      <c r="A48" s="210"/>
      <c r="B48" s="237"/>
      <c r="C48" s="229" t="s">
        <v>507</v>
      </c>
      <c r="D48" s="301" t="s">
        <v>958</v>
      </c>
      <c r="E48" s="301"/>
      <c r="F48" s="302" t="s">
        <v>994</v>
      </c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210"/>
    </row>
    <row r="49" spans="1:21" ht="12.75" customHeight="1">
      <c r="A49" s="210"/>
      <c r="B49" s="237"/>
      <c r="C49" s="229" t="s">
        <v>507</v>
      </c>
      <c r="D49" s="301" t="s">
        <v>378</v>
      </c>
      <c r="E49" s="301"/>
      <c r="F49" s="302" t="s">
        <v>995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210"/>
    </row>
    <row r="50" spans="1:21" ht="12.75" customHeight="1">
      <c r="A50" s="210"/>
      <c r="B50" s="238"/>
      <c r="C50" s="234"/>
      <c r="D50" s="303" t="s">
        <v>929</v>
      </c>
      <c r="E50" s="303"/>
      <c r="F50" s="304" t="s">
        <v>996</v>
      </c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210"/>
    </row>
    <row r="51" spans="1:21" ht="12.75">
      <c r="A51" s="210"/>
      <c r="B51" s="239"/>
      <c r="C51" s="239"/>
      <c r="D51" s="239"/>
      <c r="E51" s="239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</row>
    <row r="52" spans="1:17" ht="12.75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ht="12.75">
      <c r="A53" s="241"/>
    </row>
    <row r="54" ht="12.75">
      <c r="A54" s="241"/>
    </row>
    <row r="55" ht="12.75">
      <c r="A55" s="241"/>
    </row>
    <row r="56" ht="12.75">
      <c r="A56" s="241"/>
    </row>
    <row r="57" ht="12.75">
      <c r="A57" s="241"/>
    </row>
    <row r="58" ht="12.75">
      <c r="A58" s="241"/>
    </row>
    <row r="59" ht="12.75">
      <c r="A59" s="241"/>
    </row>
    <row r="60" ht="12.75">
      <c r="A60" s="241"/>
    </row>
    <row r="61" ht="12.75">
      <c r="A61" s="241"/>
    </row>
    <row r="67" ht="12.75">
      <c r="F67" s="14"/>
    </row>
    <row r="68" ht="12.75">
      <c r="F68" s="14"/>
    </row>
    <row r="79" ht="12.75">
      <c r="F79" s="14"/>
    </row>
    <row r="86" ht="12.75">
      <c r="F86" s="14"/>
    </row>
    <row r="92" ht="12.75">
      <c r="F92" s="14"/>
    </row>
  </sheetData>
  <sheetProtection selectLockedCells="1" selectUnlockedCells="1"/>
  <mergeCells count="103">
    <mergeCell ref="D49:E49"/>
    <mergeCell ref="F49:T49"/>
    <mergeCell ref="D50:E50"/>
    <mergeCell ref="F50:T50"/>
    <mergeCell ref="D46:E46"/>
    <mergeCell ref="F46:T46"/>
    <mergeCell ref="D47:E47"/>
    <mergeCell ref="F47:T47"/>
    <mergeCell ref="D48:E48"/>
    <mergeCell ref="F48:T48"/>
    <mergeCell ref="D43:E43"/>
    <mergeCell ref="F43:T43"/>
    <mergeCell ref="D44:E44"/>
    <mergeCell ref="F44:T44"/>
    <mergeCell ref="D45:E45"/>
    <mergeCell ref="F45:T45"/>
    <mergeCell ref="D40:E40"/>
    <mergeCell ref="F40:T40"/>
    <mergeCell ref="D41:E41"/>
    <mergeCell ref="F41:T41"/>
    <mergeCell ref="D42:E42"/>
    <mergeCell ref="F42:T42"/>
    <mergeCell ref="D37:E37"/>
    <mergeCell ref="F37:T37"/>
    <mergeCell ref="D38:E38"/>
    <mergeCell ref="F38:T38"/>
    <mergeCell ref="D39:E39"/>
    <mergeCell ref="F39:T39"/>
    <mergeCell ref="D34:E34"/>
    <mergeCell ref="F34:T34"/>
    <mergeCell ref="D35:E35"/>
    <mergeCell ref="F35:T35"/>
    <mergeCell ref="D36:E36"/>
    <mergeCell ref="F36:T36"/>
    <mergeCell ref="D31:E31"/>
    <mergeCell ref="F31:T31"/>
    <mergeCell ref="D32:E32"/>
    <mergeCell ref="F32:T32"/>
    <mergeCell ref="D33:E33"/>
    <mergeCell ref="F33:T33"/>
    <mergeCell ref="D28:E28"/>
    <mergeCell ref="F28:T28"/>
    <mergeCell ref="D29:E29"/>
    <mergeCell ref="F29:T29"/>
    <mergeCell ref="D30:E30"/>
    <mergeCell ref="F30:T30"/>
    <mergeCell ref="D25:E25"/>
    <mergeCell ref="F25:T25"/>
    <mergeCell ref="D26:E26"/>
    <mergeCell ref="F26:T26"/>
    <mergeCell ref="D27:E27"/>
    <mergeCell ref="F27:T27"/>
    <mergeCell ref="D22:E22"/>
    <mergeCell ref="F22:T22"/>
    <mergeCell ref="D23:E23"/>
    <mergeCell ref="F23:T23"/>
    <mergeCell ref="D24:E24"/>
    <mergeCell ref="F24:T24"/>
    <mergeCell ref="D19:E19"/>
    <mergeCell ref="F19:T19"/>
    <mergeCell ref="D20:E20"/>
    <mergeCell ref="F20:T20"/>
    <mergeCell ref="D21:E21"/>
    <mergeCell ref="F21:T21"/>
    <mergeCell ref="D16:E16"/>
    <mergeCell ref="F16:T16"/>
    <mergeCell ref="D17:E17"/>
    <mergeCell ref="F17:T17"/>
    <mergeCell ref="D18:E18"/>
    <mergeCell ref="F18:T18"/>
    <mergeCell ref="D14:E14"/>
    <mergeCell ref="G14:H14"/>
    <mergeCell ref="I14:K14"/>
    <mergeCell ref="L14:M14"/>
    <mergeCell ref="D15:E15"/>
    <mergeCell ref="G15:H15"/>
    <mergeCell ref="I15:K15"/>
    <mergeCell ref="L15:M15"/>
    <mergeCell ref="D11:E11"/>
    <mergeCell ref="F11:T11"/>
    <mergeCell ref="D12:E12"/>
    <mergeCell ref="F12:T12"/>
    <mergeCell ref="D13:E13"/>
    <mergeCell ref="F13:T13"/>
    <mergeCell ref="D8:E8"/>
    <mergeCell ref="F8:R8"/>
    <mergeCell ref="D9:E9"/>
    <mergeCell ref="F9:T9"/>
    <mergeCell ref="D10:E10"/>
    <mergeCell ref="F10:T10"/>
    <mergeCell ref="D5:E5"/>
    <mergeCell ref="F5:R5"/>
    <mergeCell ref="D6:E6"/>
    <mergeCell ref="F6:R6"/>
    <mergeCell ref="D7:E7"/>
    <mergeCell ref="F7:R7"/>
    <mergeCell ref="F1:T1"/>
    <mergeCell ref="B2:C2"/>
    <mergeCell ref="F2:T2"/>
    <mergeCell ref="D3:E3"/>
    <mergeCell ref="F3:T3"/>
    <mergeCell ref="D4:E4"/>
    <mergeCell ref="F4:R4"/>
  </mergeCells>
  <dataValidations count="1">
    <dataValidation type="list" allowBlank="1" showErrorMessage="1" sqref="I15:K15">
      <formula1>livret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T8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F46" sqref="F46"/>
    </sheetView>
  </sheetViews>
  <sheetFormatPr defaultColWidth="11.421875" defaultRowHeight="12.75"/>
  <cols>
    <col min="1" max="1" width="1.8515625" style="0" customWidth="1"/>
    <col min="2" max="2" width="5.7109375" style="216" customWidth="1"/>
    <col min="3" max="3" width="3.140625" style="216" customWidth="1"/>
    <col min="4" max="4" width="11.421875" style="0" customWidth="1"/>
    <col min="5" max="5" width="10.421875" style="0" customWidth="1"/>
    <col min="6" max="6" width="4.8515625" style="0" customWidth="1"/>
    <col min="7" max="7" width="7.00390625" style="0" customWidth="1"/>
    <col min="8" max="8" width="7.421875" style="0" customWidth="1"/>
    <col min="9" max="9" width="9.421875" style="0" customWidth="1"/>
    <col min="10" max="10" width="8.00390625" style="0" customWidth="1"/>
    <col min="11" max="11" width="10.00390625" style="0" customWidth="1"/>
    <col min="12" max="12" width="9.57421875" style="0" customWidth="1"/>
    <col min="13" max="13" width="6.57421875" style="0" customWidth="1"/>
    <col min="14" max="14" width="11.421875" style="0" customWidth="1"/>
    <col min="15" max="15" width="5.00390625" style="0" customWidth="1"/>
    <col min="16" max="16" width="8.421875" style="0" customWidth="1"/>
    <col min="17" max="17" width="9.7109375" style="0" customWidth="1"/>
    <col min="18" max="18" width="8.421875" style="0" customWidth="1"/>
    <col min="19" max="19" width="1.7109375" style="0" customWidth="1"/>
  </cols>
  <sheetData>
    <row r="1" spans="1:19" ht="12.75" customHeight="1">
      <c r="A1" s="210"/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10"/>
    </row>
    <row r="2" spans="1:19" ht="12.75" customHeight="1">
      <c r="A2" s="217"/>
      <c r="B2" s="297" t="s">
        <v>919</v>
      </c>
      <c r="C2" s="297"/>
      <c r="D2" s="315" t="s">
        <v>997</v>
      </c>
      <c r="E2" s="315"/>
      <c r="F2" s="316" t="s">
        <v>998</v>
      </c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210"/>
    </row>
    <row r="3" spans="1:20" ht="12.75" customHeight="1">
      <c r="A3" s="210"/>
      <c r="B3" s="220">
        <v>3</v>
      </c>
      <c r="C3" s="228" t="s">
        <v>507</v>
      </c>
      <c r="D3" s="299" t="s">
        <v>999</v>
      </c>
      <c r="E3" s="299"/>
      <c r="F3" s="314" t="s">
        <v>1000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210"/>
      <c r="T3" s="9"/>
    </row>
    <row r="4" spans="1:19" ht="12.75" customHeight="1">
      <c r="A4" s="210"/>
      <c r="B4" s="222"/>
      <c r="C4" s="229" t="s">
        <v>507</v>
      </c>
      <c r="D4" s="301" t="s">
        <v>167</v>
      </c>
      <c r="E4" s="301"/>
      <c r="F4" s="302" t="s">
        <v>1001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210"/>
    </row>
    <row r="5" spans="1:19" ht="12.75" customHeight="1">
      <c r="A5" s="210"/>
      <c r="B5" s="222"/>
      <c r="C5" s="229" t="s">
        <v>507</v>
      </c>
      <c r="D5" s="301" t="s">
        <v>1002</v>
      </c>
      <c r="E5" s="301"/>
      <c r="F5" s="302" t="s">
        <v>1003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210"/>
    </row>
    <row r="6" spans="1:19" ht="12.75" customHeight="1">
      <c r="A6" s="210"/>
      <c r="B6" s="222"/>
      <c r="C6" s="229" t="s">
        <v>507</v>
      </c>
      <c r="D6" s="301" t="s">
        <v>1004</v>
      </c>
      <c r="E6" s="301"/>
      <c r="F6" s="302" t="s">
        <v>1005</v>
      </c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10"/>
    </row>
    <row r="7" spans="1:19" ht="12.75" customHeight="1">
      <c r="A7" s="210"/>
      <c r="B7" s="222"/>
      <c r="C7" s="229" t="s">
        <v>507</v>
      </c>
      <c r="D7" s="301" t="s">
        <v>1006</v>
      </c>
      <c r="E7" s="301"/>
      <c r="F7" s="302" t="s">
        <v>1007</v>
      </c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210"/>
    </row>
    <row r="8" spans="1:19" ht="12.75" customHeight="1">
      <c r="A8" s="210"/>
      <c r="B8" s="222"/>
      <c r="C8" s="229" t="s">
        <v>507</v>
      </c>
      <c r="D8" s="303" t="s">
        <v>1008</v>
      </c>
      <c r="E8" s="303"/>
      <c r="F8" s="304" t="s">
        <v>1009</v>
      </c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210"/>
    </row>
    <row r="9" spans="1:20" ht="12.75" customHeight="1">
      <c r="A9" s="210"/>
      <c r="B9" s="227">
        <v>2.5</v>
      </c>
      <c r="C9" s="228" t="s">
        <v>507</v>
      </c>
      <c r="D9" s="299" t="s">
        <v>1010</v>
      </c>
      <c r="E9" s="299"/>
      <c r="F9" s="314" t="s">
        <v>1011</v>
      </c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210"/>
      <c r="T9" s="9"/>
    </row>
    <row r="10" spans="1:20" ht="12.75" customHeight="1">
      <c r="A10" s="210"/>
      <c r="B10" s="222"/>
      <c r="C10" s="229" t="s">
        <v>507</v>
      </c>
      <c r="D10" s="301" t="s">
        <v>1002</v>
      </c>
      <c r="E10" s="301"/>
      <c r="F10" s="302" t="s">
        <v>1012</v>
      </c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210"/>
      <c r="T10" s="9"/>
    </row>
    <row r="11" spans="1:20" ht="12.75" customHeight="1">
      <c r="A11" s="210"/>
      <c r="B11" s="222"/>
      <c r="C11" s="229" t="s">
        <v>507</v>
      </c>
      <c r="D11" s="301" t="s">
        <v>882</v>
      </c>
      <c r="E11" s="301"/>
      <c r="F11" s="302" t="s">
        <v>1013</v>
      </c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210"/>
      <c r="T11" s="9"/>
    </row>
    <row r="12" spans="1:20" ht="12.75" customHeight="1">
      <c r="A12" s="210"/>
      <c r="B12" s="222"/>
      <c r="C12" s="229" t="s">
        <v>507</v>
      </c>
      <c r="D12" s="301" t="s">
        <v>269</v>
      </c>
      <c r="E12" s="301"/>
      <c r="F12" s="302" t="s">
        <v>1014</v>
      </c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225"/>
      <c r="T12" s="226"/>
    </row>
    <row r="13" spans="1:20" ht="12.75" customHeight="1">
      <c r="A13" s="210"/>
      <c r="B13" s="222"/>
      <c r="C13" s="229"/>
      <c r="D13" s="301"/>
      <c r="E13" s="301"/>
      <c r="F13" s="302" t="s">
        <v>1015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210"/>
      <c r="T13" s="9"/>
    </row>
    <row r="14" spans="1:19" ht="12.75" customHeight="1">
      <c r="A14" s="210"/>
      <c r="B14" s="222"/>
      <c r="C14" s="229"/>
      <c r="D14" s="301" t="s">
        <v>588</v>
      </c>
      <c r="E14" s="301"/>
      <c r="F14" s="116" t="s">
        <v>1016</v>
      </c>
      <c r="G14" s="116"/>
      <c r="H14" s="307" t="str">
        <f ca="1">VLOOKUP("Page Number",Zone_Traduction,ref_langue,FALSE)</f>
        <v>Page Number</v>
      </c>
      <c r="I14" s="307"/>
      <c r="J14" s="307" t="str">
        <f ca="1">VLOOKUP("Book Name",Zone_Traduction,ref_langue,FALSE)</f>
        <v>Book Name</v>
      </c>
      <c r="K14" s="307"/>
      <c r="L14" s="307"/>
      <c r="M14" s="307" t="str">
        <f ca="1">VLOOKUP("List Name",Zone_Traduction,ref_langue,FALSE)</f>
        <v>List Name</v>
      </c>
      <c r="N14" s="307"/>
      <c r="O14" s="116"/>
      <c r="P14" s="116"/>
      <c r="Q14" s="116"/>
      <c r="R14" s="244"/>
      <c r="S14" s="210"/>
    </row>
    <row r="15" spans="1:19" ht="12.75" customHeight="1">
      <c r="A15" s="210"/>
      <c r="B15" s="222"/>
      <c r="C15" s="229"/>
      <c r="D15" s="301"/>
      <c r="E15" s="301"/>
      <c r="F15" s="116"/>
      <c r="G15" s="116"/>
      <c r="H15" s="309">
        <v>23</v>
      </c>
      <c r="I15" s="309"/>
      <c r="J15" s="317" t="s">
        <v>496</v>
      </c>
      <c r="K15" s="317"/>
      <c r="L15" s="317"/>
      <c r="M15" s="318" t="s">
        <v>684</v>
      </c>
      <c r="N15" s="318"/>
      <c r="O15" s="116"/>
      <c r="P15" s="116"/>
      <c r="Q15" s="116"/>
      <c r="R15" s="244"/>
      <c r="S15" s="210"/>
    </row>
    <row r="16" spans="1:19" ht="12.75" customHeight="1">
      <c r="A16" s="210"/>
      <c r="B16" s="222"/>
      <c r="C16" s="229" t="s">
        <v>507</v>
      </c>
      <c r="D16" s="301" t="s">
        <v>940</v>
      </c>
      <c r="E16" s="301"/>
      <c r="F16" s="302" t="s">
        <v>1017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210"/>
    </row>
    <row r="17" spans="1:19" ht="12.75" customHeight="1">
      <c r="A17" s="210"/>
      <c r="B17" s="233"/>
      <c r="C17" s="234" t="s">
        <v>507</v>
      </c>
      <c r="D17" s="301" t="s">
        <v>63</v>
      </c>
      <c r="E17" s="301"/>
      <c r="F17" s="304" t="s">
        <v>1018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210"/>
    </row>
    <row r="18" spans="1:19" ht="12.75" customHeight="1">
      <c r="A18" s="210"/>
      <c r="B18" s="235">
        <v>2.4</v>
      </c>
      <c r="C18" s="236" t="s">
        <v>507</v>
      </c>
      <c r="D18" s="319" t="s">
        <v>1019</v>
      </c>
      <c r="E18" s="319"/>
      <c r="F18" s="320" t="s">
        <v>1020</v>
      </c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210"/>
    </row>
    <row r="19" spans="1:19" ht="12.75" customHeight="1">
      <c r="A19" s="210"/>
      <c r="B19" s="222" t="s">
        <v>945</v>
      </c>
      <c r="C19" s="229" t="s">
        <v>507</v>
      </c>
      <c r="D19" s="301" t="s">
        <v>1006</v>
      </c>
      <c r="E19" s="301"/>
      <c r="F19" s="314" t="s">
        <v>1021</v>
      </c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210"/>
    </row>
    <row r="20" spans="1:19" ht="12.75" customHeight="1">
      <c r="A20" s="210"/>
      <c r="B20" s="222"/>
      <c r="C20" s="229" t="s">
        <v>507</v>
      </c>
      <c r="D20" s="301" t="s">
        <v>1022</v>
      </c>
      <c r="E20" s="301"/>
      <c r="F20" s="302" t="s">
        <v>1023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210"/>
    </row>
    <row r="21" spans="1:19" ht="12.75" customHeight="1">
      <c r="A21" s="210"/>
      <c r="B21" s="233"/>
      <c r="C21" s="234" t="s">
        <v>507</v>
      </c>
      <c r="D21" s="303" t="s">
        <v>948</v>
      </c>
      <c r="E21" s="303"/>
      <c r="F21" s="304" t="s">
        <v>1024</v>
      </c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210"/>
    </row>
    <row r="22" spans="1:19" ht="12.75" customHeight="1">
      <c r="A22" s="210"/>
      <c r="B22" s="222" t="s">
        <v>950</v>
      </c>
      <c r="C22" s="229" t="s">
        <v>507</v>
      </c>
      <c r="D22" s="301" t="s">
        <v>1025</v>
      </c>
      <c r="E22" s="301"/>
      <c r="F22" s="314" t="s">
        <v>1026</v>
      </c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210"/>
    </row>
    <row r="23" spans="1:19" ht="12.75" customHeight="1">
      <c r="A23" s="210"/>
      <c r="B23" s="233"/>
      <c r="C23" s="234" t="s">
        <v>507</v>
      </c>
      <c r="D23" s="303" t="s">
        <v>1027</v>
      </c>
      <c r="E23" s="303"/>
      <c r="F23" s="304" t="s">
        <v>1028</v>
      </c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210"/>
    </row>
    <row r="24" spans="1:19" ht="12.75" customHeight="1">
      <c r="A24" s="210"/>
      <c r="B24" s="222" t="s">
        <v>954</v>
      </c>
      <c r="C24" s="229" t="s">
        <v>507</v>
      </c>
      <c r="D24" s="301" t="s">
        <v>1029</v>
      </c>
      <c r="E24" s="301"/>
      <c r="F24" s="305" t="s">
        <v>1030</v>
      </c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210"/>
    </row>
    <row r="25" spans="1:19" ht="12.75" customHeight="1">
      <c r="A25" s="210"/>
      <c r="B25" s="222"/>
      <c r="C25" s="229" t="s">
        <v>507</v>
      </c>
      <c r="D25" s="301" t="s">
        <v>1031</v>
      </c>
      <c r="E25" s="301"/>
      <c r="F25" s="302" t="s">
        <v>1032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210"/>
    </row>
    <row r="26" spans="1:19" ht="12.75" customHeight="1">
      <c r="A26" s="210"/>
      <c r="B26" s="222"/>
      <c r="C26" s="229" t="s">
        <v>507</v>
      </c>
      <c r="D26" s="301" t="s">
        <v>1031</v>
      </c>
      <c r="E26" s="301"/>
      <c r="F26" s="302" t="s">
        <v>1033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210"/>
    </row>
    <row r="27" spans="1:19" ht="12.75" customHeight="1">
      <c r="A27" s="210"/>
      <c r="B27" s="222"/>
      <c r="C27" s="229" t="s">
        <v>507</v>
      </c>
      <c r="D27" s="301" t="s">
        <v>1034</v>
      </c>
      <c r="E27" s="301"/>
      <c r="F27" s="302" t="s">
        <v>1035</v>
      </c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210"/>
    </row>
    <row r="28" spans="1:19" ht="12.75" customHeight="1">
      <c r="A28" s="210"/>
      <c r="B28" s="233"/>
      <c r="C28" s="234" t="s">
        <v>507</v>
      </c>
      <c r="D28" s="303" t="s">
        <v>960</v>
      </c>
      <c r="E28" s="303"/>
      <c r="F28" s="304" t="s">
        <v>1036</v>
      </c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210"/>
    </row>
    <row r="29" spans="1:19" ht="12.75" customHeight="1">
      <c r="A29" s="210"/>
      <c r="B29" s="222" t="s">
        <v>962</v>
      </c>
      <c r="C29" s="229" t="s">
        <v>507</v>
      </c>
      <c r="D29" s="299" t="s">
        <v>999</v>
      </c>
      <c r="E29" s="299"/>
      <c r="F29" s="305" t="s">
        <v>1037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210"/>
    </row>
    <row r="30" spans="1:19" ht="12.75" customHeight="1">
      <c r="A30" s="210"/>
      <c r="B30" s="222"/>
      <c r="C30" s="229" t="s">
        <v>507</v>
      </c>
      <c r="D30" s="301" t="s">
        <v>244</v>
      </c>
      <c r="E30" s="301"/>
      <c r="F30" s="306" t="s">
        <v>1038</v>
      </c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210"/>
    </row>
    <row r="31" spans="1:19" ht="12.75" customHeight="1">
      <c r="A31" s="210"/>
      <c r="B31" s="222"/>
      <c r="C31" s="229" t="s">
        <v>507</v>
      </c>
      <c r="D31" s="301" t="s">
        <v>1039</v>
      </c>
      <c r="E31" s="301"/>
      <c r="F31" s="306" t="s">
        <v>1040</v>
      </c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210"/>
    </row>
    <row r="32" spans="1:19" ht="12.75" customHeight="1">
      <c r="A32" s="210"/>
      <c r="B32" s="222"/>
      <c r="C32" s="229" t="s">
        <v>507</v>
      </c>
      <c r="D32" s="301" t="s">
        <v>1034</v>
      </c>
      <c r="E32" s="301"/>
      <c r="F32" s="306" t="s">
        <v>1041</v>
      </c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210"/>
    </row>
    <row r="33" spans="1:19" ht="12.75" customHeight="1">
      <c r="A33" s="210"/>
      <c r="B33" s="222"/>
      <c r="C33" s="229" t="s">
        <v>507</v>
      </c>
      <c r="D33" s="301" t="s">
        <v>1042</v>
      </c>
      <c r="E33" s="301"/>
      <c r="F33" s="306" t="s">
        <v>1043</v>
      </c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210"/>
    </row>
    <row r="34" spans="1:19" ht="12.75" customHeight="1">
      <c r="A34" s="210"/>
      <c r="B34" s="222"/>
      <c r="C34" s="229" t="s">
        <v>507</v>
      </c>
      <c r="D34" s="301" t="s">
        <v>1044</v>
      </c>
      <c r="E34" s="301"/>
      <c r="F34" s="306" t="s">
        <v>1045</v>
      </c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210"/>
    </row>
    <row r="35" spans="1:19" ht="12.75" customHeight="1">
      <c r="A35" s="210"/>
      <c r="B35" s="222"/>
      <c r="C35" s="229" t="s">
        <v>507</v>
      </c>
      <c r="D35" s="301" t="s">
        <v>973</v>
      </c>
      <c r="E35" s="301"/>
      <c r="F35" s="306" t="s">
        <v>1046</v>
      </c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210"/>
    </row>
    <row r="36" spans="1:19" ht="12.75" customHeight="1">
      <c r="A36" s="210"/>
      <c r="B36" s="233"/>
      <c r="C36" s="234" t="s">
        <v>507</v>
      </c>
      <c r="D36" s="301" t="s">
        <v>1047</v>
      </c>
      <c r="E36" s="301"/>
      <c r="F36" s="312" t="s">
        <v>1048</v>
      </c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210"/>
    </row>
    <row r="37" spans="1:19" ht="12.75" customHeight="1">
      <c r="A37" s="210"/>
      <c r="B37" s="222">
        <v>1.7</v>
      </c>
      <c r="C37" s="229" t="s">
        <v>507</v>
      </c>
      <c r="D37" s="299" t="s">
        <v>1049</v>
      </c>
      <c r="E37" s="299"/>
      <c r="F37" s="305" t="s">
        <v>1050</v>
      </c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210"/>
    </row>
    <row r="38" spans="1:19" ht="12.75" customHeight="1">
      <c r="A38" s="210"/>
      <c r="B38" s="222"/>
      <c r="C38" s="229" t="s">
        <v>507</v>
      </c>
      <c r="D38" s="301" t="s">
        <v>1051</v>
      </c>
      <c r="E38" s="301"/>
      <c r="F38" s="306" t="s">
        <v>1052</v>
      </c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210"/>
    </row>
    <row r="39" spans="1:19" ht="12.75" customHeight="1">
      <c r="A39" s="210"/>
      <c r="B39" s="222"/>
      <c r="C39" s="229" t="s">
        <v>507</v>
      </c>
      <c r="D39" s="301" t="s">
        <v>377</v>
      </c>
      <c r="E39" s="301"/>
      <c r="F39" s="306" t="s">
        <v>1053</v>
      </c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210"/>
    </row>
    <row r="40" spans="1:19" ht="12.75" customHeight="1">
      <c r="A40" s="210"/>
      <c r="B40" s="233"/>
      <c r="C40" s="234" t="s">
        <v>507</v>
      </c>
      <c r="D40" s="303" t="s">
        <v>1054</v>
      </c>
      <c r="E40" s="303"/>
      <c r="F40" s="312" t="s">
        <v>1055</v>
      </c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210"/>
    </row>
    <row r="41" spans="1:19" ht="12.75" customHeight="1">
      <c r="A41" s="210"/>
      <c r="B41" s="222">
        <v>1.6</v>
      </c>
      <c r="C41" s="229" t="s">
        <v>507</v>
      </c>
      <c r="D41" s="299" t="s">
        <v>1056</v>
      </c>
      <c r="E41" s="299"/>
      <c r="F41" s="305" t="s">
        <v>1057</v>
      </c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210"/>
    </row>
    <row r="42" spans="1:19" ht="12.75" customHeight="1">
      <c r="A42" s="210"/>
      <c r="B42" s="222"/>
      <c r="C42" s="229" t="s">
        <v>507</v>
      </c>
      <c r="D42" s="301" t="s">
        <v>1051</v>
      </c>
      <c r="E42" s="301"/>
      <c r="F42" s="306" t="s">
        <v>1058</v>
      </c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210"/>
    </row>
    <row r="43" spans="1:19" ht="12.75" customHeight="1">
      <c r="A43" s="210"/>
      <c r="B43" s="233"/>
      <c r="C43" s="234" t="s">
        <v>507</v>
      </c>
      <c r="D43" s="301" t="s">
        <v>244</v>
      </c>
      <c r="E43" s="301"/>
      <c r="F43" s="312" t="s">
        <v>1059</v>
      </c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210"/>
    </row>
    <row r="44" spans="1:19" ht="12.75" customHeight="1">
      <c r="A44" s="210"/>
      <c r="B44" s="222">
        <v>1.5</v>
      </c>
      <c r="C44" s="229" t="s">
        <v>507</v>
      </c>
      <c r="D44" s="299" t="s">
        <v>244</v>
      </c>
      <c r="E44" s="299"/>
      <c r="F44" s="305" t="s">
        <v>1060</v>
      </c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210"/>
    </row>
    <row r="45" spans="1:19" ht="12.75" customHeight="1">
      <c r="A45" s="210"/>
      <c r="B45" s="222"/>
      <c r="C45" s="229" t="s">
        <v>507</v>
      </c>
      <c r="D45" s="301" t="s">
        <v>1061</v>
      </c>
      <c r="E45" s="301"/>
      <c r="F45" s="306" t="s">
        <v>1062</v>
      </c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210"/>
    </row>
    <row r="46" spans="1:19" ht="12.75" customHeight="1">
      <c r="A46" s="210"/>
      <c r="B46" s="222"/>
      <c r="C46" s="229" t="s">
        <v>507</v>
      </c>
      <c r="D46" s="301" t="s">
        <v>1063</v>
      </c>
      <c r="E46" s="301"/>
      <c r="F46" s="306" t="s">
        <v>1064</v>
      </c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210"/>
    </row>
    <row r="47" spans="1:19" ht="12.75" customHeight="1">
      <c r="A47" s="210"/>
      <c r="B47" s="222"/>
      <c r="C47" s="229" t="s">
        <v>507</v>
      </c>
      <c r="D47" s="301" t="s">
        <v>1039</v>
      </c>
      <c r="E47" s="301"/>
      <c r="F47" s="306" t="s">
        <v>1065</v>
      </c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210"/>
    </row>
    <row r="48" spans="1:19" ht="12.75" customHeight="1">
      <c r="A48" s="210"/>
      <c r="B48" s="222"/>
      <c r="C48" s="229" t="s">
        <v>507</v>
      </c>
      <c r="D48" s="301" t="s">
        <v>1066</v>
      </c>
      <c r="E48" s="301"/>
      <c r="F48" s="306" t="s">
        <v>1067</v>
      </c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210"/>
    </row>
    <row r="49" spans="1:19" ht="12.75" customHeight="1">
      <c r="A49" s="210"/>
      <c r="B49" s="222"/>
      <c r="C49" s="229" t="s">
        <v>507</v>
      </c>
      <c r="D49" s="301" t="s">
        <v>1034</v>
      </c>
      <c r="E49" s="301"/>
      <c r="F49" s="306" t="s">
        <v>1068</v>
      </c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210"/>
    </row>
    <row r="50" spans="1:19" ht="12.75" customHeight="1">
      <c r="A50" s="210"/>
      <c r="B50" s="222"/>
      <c r="C50" s="229" t="s">
        <v>507</v>
      </c>
      <c r="D50" s="301" t="s">
        <v>377</v>
      </c>
      <c r="E50" s="301"/>
      <c r="F50" s="306" t="s">
        <v>1069</v>
      </c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210"/>
    </row>
    <row r="51" spans="1:19" ht="12.75" customHeight="1">
      <c r="A51" s="210"/>
      <c r="B51" s="233"/>
      <c r="C51" s="234" t="s">
        <v>507</v>
      </c>
      <c r="D51" s="303" t="s">
        <v>1070</v>
      </c>
      <c r="E51" s="303"/>
      <c r="F51" s="312" t="s">
        <v>1071</v>
      </c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210"/>
    </row>
    <row r="52" spans="1:19" ht="12.75">
      <c r="A52" s="210"/>
      <c r="B52" s="239"/>
      <c r="C52" s="239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</row>
    <row r="60" ht="12.75">
      <c r="D60" s="14"/>
    </row>
    <row r="61" ht="12.75">
      <c r="D61" s="14"/>
    </row>
    <row r="72" ht="12.75">
      <c r="D72" s="14"/>
    </row>
    <row r="79" ht="12.75">
      <c r="D79" s="14"/>
    </row>
    <row r="85" ht="12.75">
      <c r="D85" s="14"/>
    </row>
  </sheetData>
  <sheetProtection selectLockedCells="1" selectUnlockedCells="1"/>
  <mergeCells count="106">
    <mergeCell ref="D50:E50"/>
    <mergeCell ref="F50:R50"/>
    <mergeCell ref="D51:E51"/>
    <mergeCell ref="F51:R51"/>
    <mergeCell ref="D47:E47"/>
    <mergeCell ref="F47:R47"/>
    <mergeCell ref="D48:E48"/>
    <mergeCell ref="F48:R48"/>
    <mergeCell ref="D49:E49"/>
    <mergeCell ref="F49:R49"/>
    <mergeCell ref="D44:E44"/>
    <mergeCell ref="F44:R44"/>
    <mergeCell ref="D45:E45"/>
    <mergeCell ref="F45:R45"/>
    <mergeCell ref="D46:E46"/>
    <mergeCell ref="F46:R46"/>
    <mergeCell ref="D41:E41"/>
    <mergeCell ref="F41:R41"/>
    <mergeCell ref="D42:E42"/>
    <mergeCell ref="F42:R42"/>
    <mergeCell ref="D43:E43"/>
    <mergeCell ref="F43:R43"/>
    <mergeCell ref="D38:E38"/>
    <mergeCell ref="F38:R38"/>
    <mergeCell ref="D39:E39"/>
    <mergeCell ref="F39:R39"/>
    <mergeCell ref="D40:E40"/>
    <mergeCell ref="F40:R40"/>
    <mergeCell ref="D35:E35"/>
    <mergeCell ref="F35:R35"/>
    <mergeCell ref="D36:E36"/>
    <mergeCell ref="F36:R36"/>
    <mergeCell ref="D37:E37"/>
    <mergeCell ref="F37:R37"/>
    <mergeCell ref="D32:E32"/>
    <mergeCell ref="F32:R32"/>
    <mergeCell ref="D33:E33"/>
    <mergeCell ref="F33:R33"/>
    <mergeCell ref="D34:E34"/>
    <mergeCell ref="F34:R34"/>
    <mergeCell ref="D29:E29"/>
    <mergeCell ref="F29:R29"/>
    <mergeCell ref="D30:E30"/>
    <mergeCell ref="F30:R30"/>
    <mergeCell ref="D31:E31"/>
    <mergeCell ref="F31:R31"/>
    <mergeCell ref="D26:E26"/>
    <mergeCell ref="F26:R26"/>
    <mergeCell ref="D27:E27"/>
    <mergeCell ref="F27:R27"/>
    <mergeCell ref="D28:E28"/>
    <mergeCell ref="F28:R28"/>
    <mergeCell ref="D23:E23"/>
    <mergeCell ref="F23:R23"/>
    <mergeCell ref="D24:E24"/>
    <mergeCell ref="F24:R24"/>
    <mergeCell ref="D25:E25"/>
    <mergeCell ref="F25:R25"/>
    <mergeCell ref="D20:E20"/>
    <mergeCell ref="F20:R20"/>
    <mergeCell ref="D21:E21"/>
    <mergeCell ref="F21:R21"/>
    <mergeCell ref="D22:E22"/>
    <mergeCell ref="F22:R22"/>
    <mergeCell ref="D17:E17"/>
    <mergeCell ref="F17:R17"/>
    <mergeCell ref="D18:E18"/>
    <mergeCell ref="F18:R18"/>
    <mergeCell ref="D19:E19"/>
    <mergeCell ref="F19:R19"/>
    <mergeCell ref="D15:E15"/>
    <mergeCell ref="H15:I15"/>
    <mergeCell ref="J15:L15"/>
    <mergeCell ref="M15:N15"/>
    <mergeCell ref="D16:E16"/>
    <mergeCell ref="F16:R16"/>
    <mergeCell ref="D13:E13"/>
    <mergeCell ref="F13:R13"/>
    <mergeCell ref="D14:E14"/>
    <mergeCell ref="H14:I14"/>
    <mergeCell ref="J14:L14"/>
    <mergeCell ref="M14:N14"/>
    <mergeCell ref="D10:E10"/>
    <mergeCell ref="F10:R10"/>
    <mergeCell ref="D11:E11"/>
    <mergeCell ref="F11:R11"/>
    <mergeCell ref="D12:E12"/>
    <mergeCell ref="F12:R12"/>
    <mergeCell ref="D7:E7"/>
    <mergeCell ref="F7:R7"/>
    <mergeCell ref="D8:E8"/>
    <mergeCell ref="F8:R8"/>
    <mergeCell ref="D9:E9"/>
    <mergeCell ref="F9:R9"/>
    <mergeCell ref="D4:E4"/>
    <mergeCell ref="F4:R4"/>
    <mergeCell ref="D5:E5"/>
    <mergeCell ref="F5:R5"/>
    <mergeCell ref="D6:E6"/>
    <mergeCell ref="F6:R6"/>
    <mergeCell ref="B1:R1"/>
    <mergeCell ref="B2:C2"/>
    <mergeCell ref="D2:E2"/>
    <mergeCell ref="F2:R2"/>
    <mergeCell ref="D3:E3"/>
    <mergeCell ref="F3:R3"/>
  </mergeCells>
  <dataValidations count="1">
    <dataValidation type="list" allowBlank="1" showErrorMessage="1" sqref="J15:L15">
      <formula1>livret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N8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F11" sqref="F11"/>
    </sheetView>
  </sheetViews>
  <sheetFormatPr defaultColWidth="11.421875" defaultRowHeight="12.75"/>
  <cols>
    <col min="1" max="1" width="1.8515625" style="0" customWidth="1"/>
    <col min="2" max="2" width="5.7109375" style="216" customWidth="1"/>
    <col min="3" max="3" width="3.140625" style="216" customWidth="1"/>
    <col min="4" max="4" width="28.7109375" style="216" customWidth="1"/>
    <col min="5" max="5" width="11.421875" style="0" customWidth="1"/>
    <col min="6" max="6" width="10.421875" style="0" customWidth="1"/>
    <col min="7" max="7" width="4.8515625" style="0" customWidth="1"/>
    <col min="8" max="8" width="7.00390625" style="0" customWidth="1"/>
    <col min="9" max="9" width="7.421875" style="0" customWidth="1"/>
    <col min="10" max="10" width="9.421875" style="0" customWidth="1"/>
    <col min="11" max="11" width="8.00390625" style="0" customWidth="1"/>
    <col min="12" max="12" width="10.00390625" style="0" customWidth="1"/>
    <col min="13" max="13" width="9.57421875" style="0" customWidth="1"/>
    <col min="14" max="14" width="6.57421875" style="0" customWidth="1"/>
    <col min="15" max="15" width="9.28125" style="0" customWidth="1"/>
    <col min="16" max="16" width="7.7109375" style="0" customWidth="1"/>
    <col min="17" max="17" width="8.421875" style="0" customWidth="1"/>
    <col min="18" max="18" width="9.7109375" style="0" customWidth="1"/>
    <col min="19" max="19" width="8.421875" style="0" customWidth="1"/>
    <col min="20" max="20" width="1.7109375" style="0" customWidth="1"/>
  </cols>
  <sheetData>
    <row r="1" spans="1:20" ht="12.75" customHeight="1">
      <c r="A1" s="210"/>
      <c r="B1" s="282" t="s">
        <v>2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10"/>
    </row>
    <row r="2" spans="1:20" ht="12.75" customHeight="1">
      <c r="A2" s="217"/>
      <c r="B2" s="297" t="s">
        <v>919</v>
      </c>
      <c r="C2" s="297"/>
      <c r="D2" s="238"/>
      <c r="E2" s="219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10"/>
    </row>
    <row r="3" spans="1:40" ht="12.75">
      <c r="A3" s="210"/>
      <c r="B3" s="220">
        <v>3</v>
      </c>
      <c r="C3" s="229" t="s">
        <v>507</v>
      </c>
      <c r="D3" s="218" t="s">
        <v>1072</v>
      </c>
      <c r="E3" s="306" t="s">
        <v>1073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225"/>
      <c r="AL3" s="17"/>
      <c r="AM3" s="17"/>
      <c r="AN3" s="17"/>
    </row>
    <row r="4" spans="1:40" ht="12.75">
      <c r="A4" s="210"/>
      <c r="B4" s="222"/>
      <c r="C4" s="229" t="s">
        <v>507</v>
      </c>
      <c r="D4" s="218" t="s">
        <v>1074</v>
      </c>
      <c r="E4" s="306" t="s">
        <v>1075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210"/>
      <c r="AL4" s="17"/>
      <c r="AM4" s="17"/>
      <c r="AN4" s="17"/>
    </row>
    <row r="5" spans="1:40" ht="12.75">
      <c r="A5" s="210"/>
      <c r="B5" s="222"/>
      <c r="C5" s="229" t="s">
        <v>507</v>
      </c>
      <c r="D5" s="218" t="s">
        <v>1076</v>
      </c>
      <c r="E5" s="312" t="s">
        <v>1077</v>
      </c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210"/>
      <c r="AL5" s="17"/>
      <c r="AM5" s="17"/>
      <c r="AN5" s="17"/>
    </row>
    <row r="6" spans="1:40" ht="12.75">
      <c r="A6" s="210"/>
      <c r="B6" s="227">
        <v>2.5</v>
      </c>
      <c r="C6" s="228" t="s">
        <v>507</v>
      </c>
      <c r="D6" s="246" t="s">
        <v>1078</v>
      </c>
      <c r="E6" s="314" t="s">
        <v>1079</v>
      </c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210"/>
      <c r="AL6" s="17"/>
      <c r="AM6" s="17"/>
      <c r="AN6" s="17"/>
    </row>
    <row r="7" spans="1:40" ht="12.75">
      <c r="A7" s="210"/>
      <c r="B7" s="222"/>
      <c r="C7" s="229" t="s">
        <v>507</v>
      </c>
      <c r="D7" s="247" t="s">
        <v>324</v>
      </c>
      <c r="E7" s="302" t="s">
        <v>1080</v>
      </c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210"/>
      <c r="AL7" s="17"/>
      <c r="AM7" s="17"/>
      <c r="AN7" s="17"/>
    </row>
    <row r="8" spans="1:40" ht="12.75">
      <c r="A8" s="210"/>
      <c r="B8" s="222"/>
      <c r="C8" s="229" t="s">
        <v>507</v>
      </c>
      <c r="D8" s="247" t="s">
        <v>1076</v>
      </c>
      <c r="E8" s="302" t="s">
        <v>1081</v>
      </c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210"/>
      <c r="AL8" s="17"/>
      <c r="AM8" s="17"/>
      <c r="AN8" s="17"/>
    </row>
    <row r="9" spans="1:40" ht="12.75">
      <c r="A9" s="210"/>
      <c r="B9" s="222"/>
      <c r="C9" s="229" t="s">
        <v>507</v>
      </c>
      <c r="D9" s="247" t="s">
        <v>1082</v>
      </c>
      <c r="E9" s="302" t="s">
        <v>1083</v>
      </c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210"/>
      <c r="AL9" s="17"/>
      <c r="AM9" s="17"/>
      <c r="AN9" s="17"/>
    </row>
    <row r="10" spans="1:40" ht="12.75">
      <c r="A10" s="210"/>
      <c r="B10" s="222"/>
      <c r="C10" s="229"/>
      <c r="D10" s="247"/>
      <c r="E10" s="302" t="s">
        <v>1084</v>
      </c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210"/>
      <c r="AL10" s="17"/>
      <c r="AM10" s="17"/>
      <c r="AN10" s="17"/>
    </row>
    <row r="11" spans="1:40" ht="12.75" customHeight="1">
      <c r="A11" s="210"/>
      <c r="B11" s="222"/>
      <c r="C11" s="229"/>
      <c r="D11" s="247"/>
      <c r="E11" s="230" t="s">
        <v>939</v>
      </c>
      <c r="F11" s="307" t="str">
        <f ca="1">VLOOKUP("Page Number",Zone_Traduction,ref_langue,FALSE)</f>
        <v>Page Number</v>
      </c>
      <c r="G11" s="307"/>
      <c r="H11" s="308" t="str">
        <f ca="1">VLOOKUP("Book Name",Zone_Traduction,ref_langue,FALSE)</f>
        <v>Book Name</v>
      </c>
      <c r="I11" s="308"/>
      <c r="J11" s="308"/>
      <c r="K11" s="308" t="str">
        <f ca="1">VLOOKUP("List Name",Zone_Traduction,ref_langue,FALSE)</f>
        <v>List Name</v>
      </c>
      <c r="L11" s="308"/>
      <c r="M11" s="231"/>
      <c r="N11" s="223"/>
      <c r="O11" s="223"/>
      <c r="P11" s="223"/>
      <c r="Q11" s="223"/>
      <c r="R11" s="223"/>
      <c r="S11" s="223"/>
      <c r="T11" s="210"/>
      <c r="AL11" s="17"/>
      <c r="AM11" s="17"/>
      <c r="AN11" s="17"/>
    </row>
    <row r="12" spans="1:40" ht="12.75" customHeight="1">
      <c r="A12" s="210"/>
      <c r="B12" s="222"/>
      <c r="C12" s="229"/>
      <c r="D12" s="247"/>
      <c r="E12" s="230"/>
      <c r="F12" s="309">
        <v>23</v>
      </c>
      <c r="G12" s="309"/>
      <c r="H12" s="310" t="s">
        <v>496</v>
      </c>
      <c r="I12" s="310"/>
      <c r="J12" s="310"/>
      <c r="K12" s="311" t="s">
        <v>684</v>
      </c>
      <c r="L12" s="311"/>
      <c r="M12" s="232"/>
      <c r="N12" s="223"/>
      <c r="O12" s="223"/>
      <c r="P12" s="223"/>
      <c r="Q12" s="223"/>
      <c r="R12" s="223"/>
      <c r="S12" s="223"/>
      <c r="T12" s="210"/>
      <c r="AL12" s="17"/>
      <c r="AM12" s="17"/>
      <c r="AN12" s="17"/>
    </row>
    <row r="13" spans="1:40" ht="12.75">
      <c r="A13" s="210"/>
      <c r="B13" s="222"/>
      <c r="C13" s="229" t="s">
        <v>507</v>
      </c>
      <c r="D13" s="247" t="s">
        <v>1085</v>
      </c>
      <c r="E13" s="302" t="s">
        <v>1086</v>
      </c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210"/>
      <c r="AL13" s="17"/>
      <c r="AM13" s="17"/>
      <c r="AN13" s="17"/>
    </row>
    <row r="14" spans="1:40" ht="12.75">
      <c r="A14" s="210"/>
      <c r="B14" s="233"/>
      <c r="C14" s="234" t="s">
        <v>507</v>
      </c>
      <c r="D14" s="242" t="s">
        <v>65</v>
      </c>
      <c r="E14" s="302" t="s">
        <v>1087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210"/>
      <c r="AL14" s="17"/>
      <c r="AM14" s="17"/>
      <c r="AN14" s="17"/>
    </row>
    <row r="15" spans="1:40" ht="12.75">
      <c r="A15" s="210"/>
      <c r="B15" s="235">
        <v>2.4</v>
      </c>
      <c r="C15" s="248" t="s">
        <v>507</v>
      </c>
      <c r="D15" s="249" t="s">
        <v>1088</v>
      </c>
      <c r="E15" s="319" t="s">
        <v>1089</v>
      </c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210"/>
      <c r="AL15" s="17"/>
      <c r="AM15" s="17"/>
      <c r="AN15" s="17"/>
    </row>
    <row r="16" spans="1:40" ht="12.75">
      <c r="A16" s="210"/>
      <c r="B16" s="222" t="s">
        <v>945</v>
      </c>
      <c r="C16" s="218" t="s">
        <v>507</v>
      </c>
      <c r="D16" s="250" t="s">
        <v>1090</v>
      </c>
      <c r="E16" s="301" t="s">
        <v>1091</v>
      </c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210"/>
      <c r="AL16" s="17"/>
      <c r="AM16" s="17"/>
      <c r="AN16" s="17"/>
    </row>
    <row r="17" spans="1:40" ht="12.75">
      <c r="A17" s="210"/>
      <c r="B17" s="222"/>
      <c r="C17" s="218" t="s">
        <v>507</v>
      </c>
      <c r="D17" s="250" t="s">
        <v>1090</v>
      </c>
      <c r="E17" s="301" t="s">
        <v>1092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210"/>
      <c r="AL17" s="17"/>
      <c r="AM17" s="17"/>
      <c r="AN17" s="17"/>
    </row>
    <row r="18" spans="1:40" ht="12.75">
      <c r="A18" s="210"/>
      <c r="B18" s="233"/>
      <c r="C18" s="238" t="s">
        <v>507</v>
      </c>
      <c r="D18" s="243" t="s">
        <v>1090</v>
      </c>
      <c r="E18" s="303" t="s">
        <v>1093</v>
      </c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210"/>
      <c r="AL18" s="17"/>
      <c r="AM18" s="17"/>
      <c r="AN18" s="17"/>
    </row>
    <row r="19" spans="1:40" ht="12.75">
      <c r="A19" s="210"/>
      <c r="B19" s="222" t="s">
        <v>950</v>
      </c>
      <c r="C19" s="229" t="s">
        <v>507</v>
      </c>
      <c r="D19" s="218" t="s">
        <v>1090</v>
      </c>
      <c r="E19" s="306" t="s">
        <v>1094</v>
      </c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210"/>
      <c r="AL19" s="17"/>
      <c r="AM19" s="17"/>
      <c r="AN19" s="17"/>
    </row>
    <row r="20" spans="1:40" ht="12.75">
      <c r="A20" s="210"/>
      <c r="B20" s="233"/>
      <c r="C20" s="234" t="s">
        <v>507</v>
      </c>
      <c r="D20" s="218" t="s">
        <v>1095</v>
      </c>
      <c r="E20" s="312" t="s">
        <v>1096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210"/>
      <c r="AL20" s="17"/>
      <c r="AM20" s="17"/>
      <c r="AN20" s="17"/>
    </row>
    <row r="21" spans="1:40" ht="12.75">
      <c r="A21" s="210"/>
      <c r="B21" s="222" t="s">
        <v>954</v>
      </c>
      <c r="C21" s="229" t="s">
        <v>507</v>
      </c>
      <c r="D21" s="246" t="s">
        <v>1097</v>
      </c>
      <c r="E21" s="306" t="s">
        <v>1098</v>
      </c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210"/>
      <c r="AL21" s="17"/>
      <c r="AM21" s="17"/>
      <c r="AN21" s="17"/>
    </row>
    <row r="22" spans="1:40" ht="12.75">
      <c r="A22" s="210"/>
      <c r="B22" s="222"/>
      <c r="C22" s="229"/>
      <c r="D22" s="247" t="s">
        <v>1095</v>
      </c>
      <c r="E22" s="306" t="s">
        <v>1099</v>
      </c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210"/>
      <c r="AL22" s="17"/>
      <c r="AM22" s="17"/>
      <c r="AN22" s="17"/>
    </row>
    <row r="23" spans="1:40" ht="12.75">
      <c r="A23" s="210"/>
      <c r="B23" s="222"/>
      <c r="C23" s="229" t="s">
        <v>507</v>
      </c>
      <c r="D23" s="247" t="s">
        <v>1100</v>
      </c>
      <c r="E23" s="306" t="s">
        <v>1101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210"/>
      <c r="AL23" s="17"/>
      <c r="AM23" s="17"/>
      <c r="AN23" s="17"/>
    </row>
    <row r="24" spans="1:40" ht="12.75">
      <c r="A24" s="210"/>
      <c r="B24" s="233"/>
      <c r="C24" s="234" t="s">
        <v>507</v>
      </c>
      <c r="D24" s="242" t="s">
        <v>1102</v>
      </c>
      <c r="E24" s="312" t="s">
        <v>1103</v>
      </c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210"/>
      <c r="AL24" s="17"/>
      <c r="AM24" s="17"/>
      <c r="AN24" s="17"/>
    </row>
    <row r="25" spans="1:40" ht="12.75">
      <c r="A25" s="210"/>
      <c r="B25" s="222" t="s">
        <v>962</v>
      </c>
      <c r="C25" s="229" t="s">
        <v>507</v>
      </c>
      <c r="D25" s="218" t="s">
        <v>1090</v>
      </c>
      <c r="E25" s="305" t="s">
        <v>1104</v>
      </c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210"/>
      <c r="AL25" s="17"/>
      <c r="AM25" s="17"/>
      <c r="AN25" s="17"/>
    </row>
    <row r="26" spans="1:40" ht="12.75">
      <c r="A26" s="210"/>
      <c r="B26" s="222"/>
      <c r="C26" s="229" t="s">
        <v>507</v>
      </c>
      <c r="D26" s="218" t="s">
        <v>1105</v>
      </c>
      <c r="E26" s="306" t="s">
        <v>1106</v>
      </c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210"/>
      <c r="AL26" s="17"/>
      <c r="AM26" s="17"/>
      <c r="AN26" s="17"/>
    </row>
    <row r="27" spans="1:40" ht="12.75">
      <c r="A27" s="210"/>
      <c r="B27" s="222"/>
      <c r="C27" s="229" t="s">
        <v>507</v>
      </c>
      <c r="D27" s="218" t="s">
        <v>329</v>
      </c>
      <c r="E27" s="306" t="s">
        <v>1107</v>
      </c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210"/>
      <c r="AL27" s="17"/>
      <c r="AM27" s="17"/>
      <c r="AN27" s="17"/>
    </row>
    <row r="28" spans="1:40" ht="12.75">
      <c r="A28" s="210"/>
      <c r="B28" s="222"/>
      <c r="C28" s="229" t="s">
        <v>507</v>
      </c>
      <c r="D28" s="218" t="s">
        <v>1100</v>
      </c>
      <c r="E28" s="306" t="s">
        <v>1108</v>
      </c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210"/>
      <c r="AL28" s="17"/>
      <c r="AM28" s="17"/>
      <c r="AN28" s="17"/>
    </row>
    <row r="29" spans="1:40" ht="12.75">
      <c r="A29" s="210"/>
      <c r="B29" s="222"/>
      <c r="C29" s="229" t="s">
        <v>507</v>
      </c>
      <c r="D29" s="218" t="s">
        <v>1109</v>
      </c>
      <c r="E29" s="306" t="s">
        <v>1110</v>
      </c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210"/>
      <c r="AL29" s="17"/>
      <c r="AM29" s="17"/>
      <c r="AN29" s="17"/>
    </row>
    <row r="30" spans="1:40" ht="12.75">
      <c r="A30" s="210"/>
      <c r="B30" s="222"/>
      <c r="C30" s="229" t="s">
        <v>507</v>
      </c>
      <c r="D30" s="218" t="s">
        <v>1111</v>
      </c>
      <c r="E30" s="306" t="s">
        <v>1112</v>
      </c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210"/>
      <c r="AL30" s="17"/>
      <c r="AM30" s="17"/>
      <c r="AN30" s="17"/>
    </row>
    <row r="31" spans="1:40" ht="12.75">
      <c r="A31" s="210"/>
      <c r="B31" s="222"/>
      <c r="C31" s="229" t="s">
        <v>507</v>
      </c>
      <c r="D31" s="218" t="s">
        <v>1113</v>
      </c>
      <c r="E31" s="306" t="s">
        <v>1114</v>
      </c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210"/>
      <c r="AL31" s="17"/>
      <c r="AM31" s="17"/>
      <c r="AN31" s="17"/>
    </row>
    <row r="32" spans="1:40" ht="12.75">
      <c r="A32" s="210"/>
      <c r="B32" s="233"/>
      <c r="C32" s="234" t="s">
        <v>507</v>
      </c>
      <c r="D32" s="238" t="s">
        <v>1115</v>
      </c>
      <c r="E32" s="312" t="s">
        <v>1116</v>
      </c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210"/>
      <c r="AL32" s="17"/>
      <c r="AM32" s="17"/>
      <c r="AN32" s="17"/>
    </row>
    <row r="33" spans="1:40" ht="12.75">
      <c r="A33" s="210"/>
      <c r="B33" s="222">
        <v>1.7</v>
      </c>
      <c r="C33" s="229" t="s">
        <v>507</v>
      </c>
      <c r="D33" s="246" t="s">
        <v>1117</v>
      </c>
      <c r="E33" s="314" t="s">
        <v>1118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210"/>
      <c r="AL33" s="17"/>
      <c r="AM33" s="17"/>
      <c r="AN33" s="17"/>
    </row>
    <row r="34" spans="1:40" ht="12.75">
      <c r="A34" s="210"/>
      <c r="B34" s="222"/>
      <c r="C34" s="229" t="s">
        <v>507</v>
      </c>
      <c r="D34" s="247" t="s">
        <v>1119</v>
      </c>
      <c r="E34" s="302" t="s">
        <v>1120</v>
      </c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210"/>
      <c r="AL34" s="17"/>
      <c r="AM34" s="17"/>
      <c r="AN34" s="17"/>
    </row>
    <row r="35" spans="1:40" ht="12.75">
      <c r="A35" s="210"/>
      <c r="B35" s="222"/>
      <c r="C35" s="229" t="s">
        <v>507</v>
      </c>
      <c r="D35" s="247" t="s">
        <v>379</v>
      </c>
      <c r="E35" s="302" t="s">
        <v>1121</v>
      </c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210"/>
      <c r="AL35" s="17"/>
      <c r="AM35" s="17"/>
      <c r="AN35" s="17"/>
    </row>
    <row r="36" spans="1:40" ht="12.75">
      <c r="A36" s="210"/>
      <c r="B36" s="233"/>
      <c r="C36" s="234" t="s">
        <v>507</v>
      </c>
      <c r="D36" s="247" t="s">
        <v>1090</v>
      </c>
      <c r="E36" s="302" t="s">
        <v>1122</v>
      </c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210"/>
      <c r="AL36" s="17"/>
      <c r="AM36" s="17"/>
      <c r="AN36" s="17"/>
    </row>
    <row r="37" spans="1:40" ht="12.75">
      <c r="A37" s="210"/>
      <c r="B37" s="222">
        <v>1.6</v>
      </c>
      <c r="C37" s="229" t="s">
        <v>507</v>
      </c>
      <c r="D37" s="246" t="s">
        <v>65</v>
      </c>
      <c r="E37" s="314" t="s">
        <v>1123</v>
      </c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210"/>
      <c r="AL37" s="17"/>
      <c r="AM37" s="17"/>
      <c r="AN37" s="17"/>
    </row>
    <row r="38" spans="1:40" ht="12.75">
      <c r="A38" s="210"/>
      <c r="B38" s="222"/>
      <c r="C38" s="229" t="s">
        <v>507</v>
      </c>
      <c r="D38" s="247" t="s">
        <v>1119</v>
      </c>
      <c r="E38" s="302" t="s">
        <v>1124</v>
      </c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210"/>
      <c r="AL38" s="17"/>
      <c r="AM38" s="17"/>
      <c r="AN38" s="17"/>
    </row>
    <row r="39" spans="1:40" ht="12.75">
      <c r="A39" s="210"/>
      <c r="B39" s="233"/>
      <c r="C39" s="234" t="s">
        <v>507</v>
      </c>
      <c r="D39" s="247" t="s">
        <v>1105</v>
      </c>
      <c r="E39" s="302" t="s">
        <v>1125</v>
      </c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210"/>
      <c r="AL39" s="17"/>
      <c r="AM39" s="17"/>
      <c r="AN39" s="17"/>
    </row>
    <row r="40" spans="1:40" ht="12.75">
      <c r="A40" s="210"/>
      <c r="B40" s="222">
        <v>1.5</v>
      </c>
      <c r="C40" s="229" t="s">
        <v>507</v>
      </c>
      <c r="D40" s="246" t="s">
        <v>1105</v>
      </c>
      <c r="E40" s="314" t="s">
        <v>1126</v>
      </c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210"/>
      <c r="AL40" s="17"/>
      <c r="AM40" s="17"/>
      <c r="AN40" s="17"/>
    </row>
    <row r="41" spans="1:40" ht="12.75">
      <c r="A41" s="210"/>
      <c r="B41" s="222"/>
      <c r="C41" s="229" t="s">
        <v>507</v>
      </c>
      <c r="D41" s="247" t="s">
        <v>1127</v>
      </c>
      <c r="E41" s="302" t="s">
        <v>1128</v>
      </c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210"/>
      <c r="AL41" s="17"/>
      <c r="AM41" s="17"/>
      <c r="AN41" s="17"/>
    </row>
    <row r="42" spans="1:40" ht="12.75">
      <c r="A42" s="210"/>
      <c r="B42" s="222"/>
      <c r="C42" s="229" t="s">
        <v>507</v>
      </c>
      <c r="D42" s="247" t="s">
        <v>452</v>
      </c>
      <c r="E42" s="302" t="s">
        <v>1129</v>
      </c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210"/>
      <c r="AL42" s="17"/>
      <c r="AM42" s="17"/>
      <c r="AN42" s="17"/>
    </row>
    <row r="43" spans="1:40" ht="12.75">
      <c r="A43" s="210"/>
      <c r="B43" s="222"/>
      <c r="C43" s="229" t="s">
        <v>507</v>
      </c>
      <c r="D43" s="247" t="s">
        <v>1130</v>
      </c>
      <c r="E43" s="302" t="s">
        <v>1131</v>
      </c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210"/>
      <c r="AL43" s="17"/>
      <c r="AM43" s="17"/>
      <c r="AN43" s="17"/>
    </row>
    <row r="44" spans="1:40" ht="12.75">
      <c r="A44" s="210"/>
      <c r="B44" s="222"/>
      <c r="C44" s="229" t="s">
        <v>507</v>
      </c>
      <c r="D44" s="247" t="s">
        <v>1132</v>
      </c>
      <c r="E44" s="302" t="s">
        <v>1133</v>
      </c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210"/>
      <c r="AL44" s="17"/>
      <c r="AM44" s="17"/>
      <c r="AN44" s="17"/>
    </row>
    <row r="45" spans="1:40" ht="12.75">
      <c r="A45" s="210"/>
      <c r="B45" s="222"/>
      <c r="C45" s="229" t="s">
        <v>507</v>
      </c>
      <c r="D45" s="247" t="s">
        <v>1100</v>
      </c>
      <c r="E45" s="302" t="s">
        <v>1134</v>
      </c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210"/>
      <c r="AL45" s="17"/>
      <c r="AM45" s="17"/>
      <c r="AN45" s="17"/>
    </row>
    <row r="46" spans="1:40" ht="12.75">
      <c r="A46" s="210"/>
      <c r="B46" s="222"/>
      <c r="C46" s="229" t="s">
        <v>507</v>
      </c>
      <c r="D46" s="247" t="s">
        <v>379</v>
      </c>
      <c r="E46" s="302" t="s">
        <v>1135</v>
      </c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210"/>
      <c r="AL46" s="17"/>
      <c r="AM46" s="17"/>
      <c r="AN46" s="17"/>
    </row>
    <row r="47" spans="1:40" ht="12.75">
      <c r="A47" s="210"/>
      <c r="B47" s="233"/>
      <c r="C47" s="234"/>
      <c r="D47" s="242" t="s">
        <v>1136</v>
      </c>
      <c r="E47" s="304" t="s">
        <v>1137</v>
      </c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210"/>
      <c r="AL47" s="17"/>
      <c r="AM47" s="17"/>
      <c r="AN47" s="17"/>
    </row>
    <row r="48" spans="1:40" ht="12.75">
      <c r="A48" s="210"/>
      <c r="B48" s="239"/>
      <c r="C48" s="239"/>
      <c r="D48" s="23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68" ht="12.75">
      <c r="E68" s="14"/>
    </row>
    <row r="69" ht="12.75">
      <c r="E69" s="14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</sheetData>
  <sheetProtection selectLockedCells="1" selectUnlockedCells="1"/>
  <mergeCells count="51">
    <mergeCell ref="E46:S46"/>
    <mergeCell ref="E47:S47"/>
    <mergeCell ref="E40:S40"/>
    <mergeCell ref="E41:S41"/>
    <mergeCell ref="E42:S42"/>
    <mergeCell ref="E43:S43"/>
    <mergeCell ref="E44:S44"/>
    <mergeCell ref="E45:S45"/>
    <mergeCell ref="E34:S34"/>
    <mergeCell ref="E35:S35"/>
    <mergeCell ref="E36:S36"/>
    <mergeCell ref="E37:S37"/>
    <mergeCell ref="E38:S38"/>
    <mergeCell ref="E39:S39"/>
    <mergeCell ref="E28:S28"/>
    <mergeCell ref="E29:S29"/>
    <mergeCell ref="E30:S30"/>
    <mergeCell ref="E31:S31"/>
    <mergeCell ref="E32:S32"/>
    <mergeCell ref="E33:S33"/>
    <mergeCell ref="E22:S22"/>
    <mergeCell ref="E23:S23"/>
    <mergeCell ref="E24:S24"/>
    <mergeCell ref="E25:S25"/>
    <mergeCell ref="E26:S26"/>
    <mergeCell ref="E27:S27"/>
    <mergeCell ref="E16:S16"/>
    <mergeCell ref="E17:S17"/>
    <mergeCell ref="E18:S18"/>
    <mergeCell ref="E19:S19"/>
    <mergeCell ref="E20:S20"/>
    <mergeCell ref="E21:S21"/>
    <mergeCell ref="F12:G12"/>
    <mergeCell ref="H12:J12"/>
    <mergeCell ref="K12:L12"/>
    <mergeCell ref="E13:S13"/>
    <mergeCell ref="E14:S14"/>
    <mergeCell ref="E15:S15"/>
    <mergeCell ref="E7:S7"/>
    <mergeCell ref="E8:S8"/>
    <mergeCell ref="E9:S9"/>
    <mergeCell ref="E10:S10"/>
    <mergeCell ref="F11:G11"/>
    <mergeCell ref="H11:J11"/>
    <mergeCell ref="K11:L11"/>
    <mergeCell ref="B1:S1"/>
    <mergeCell ref="B2:C2"/>
    <mergeCell ref="E3:S3"/>
    <mergeCell ref="E4:S4"/>
    <mergeCell ref="E5:S5"/>
    <mergeCell ref="E6:S6"/>
  </mergeCells>
  <dataValidations count="1">
    <dataValidation type="list" allowBlank="1" showErrorMessage="1" sqref="H12:J12">
      <formula1>livret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S7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U29" sqref="U29"/>
    </sheetView>
  </sheetViews>
  <sheetFormatPr defaultColWidth="11.421875" defaultRowHeight="12.75"/>
  <cols>
    <col min="1" max="1" width="1.8515625" style="0" customWidth="1"/>
    <col min="2" max="2" width="5.140625" style="216" customWidth="1"/>
    <col min="3" max="3" width="1.57421875" style="216" customWidth="1"/>
    <col min="4" max="4" width="11.421875" style="0" customWidth="1"/>
    <col min="5" max="5" width="10.421875" style="0" customWidth="1"/>
    <col min="6" max="6" width="5.00390625" style="0" customWidth="1"/>
    <col min="7" max="7" width="7.00390625" style="0" customWidth="1"/>
    <col min="8" max="8" width="7.421875" style="0" customWidth="1"/>
    <col min="9" max="9" width="9.421875" style="0" customWidth="1"/>
    <col min="10" max="10" width="8.00390625" style="0" customWidth="1"/>
    <col min="11" max="11" width="10.00390625" style="0" customWidth="1"/>
    <col min="12" max="12" width="9.57421875" style="0" customWidth="1"/>
    <col min="13" max="13" width="8.00390625" style="0" customWidth="1"/>
    <col min="14" max="14" width="12.28125" style="0" customWidth="1"/>
    <col min="15" max="15" width="7.7109375" style="0" customWidth="1"/>
    <col min="16" max="16" width="8.421875" style="0" customWidth="1"/>
    <col min="17" max="17" width="9.7109375" style="0" customWidth="1"/>
    <col min="18" max="18" width="12.8515625" style="0" customWidth="1"/>
    <col min="19" max="19" width="1.7109375" style="0" customWidth="1"/>
  </cols>
  <sheetData>
    <row r="1" spans="1:19" ht="12.75" customHeight="1">
      <c r="A1" s="210"/>
      <c r="B1" s="282" t="s">
        <v>3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10"/>
    </row>
    <row r="2" spans="1:19" ht="12.75" customHeight="1">
      <c r="A2" s="217"/>
      <c r="B2" s="297" t="s">
        <v>919</v>
      </c>
      <c r="C2" s="297"/>
      <c r="D2" s="298" t="s">
        <v>1138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10"/>
    </row>
    <row r="3" spans="1:19" ht="12.75" customHeight="1">
      <c r="A3" s="210"/>
      <c r="B3" s="220">
        <v>3</v>
      </c>
      <c r="C3" s="228" t="s">
        <v>507</v>
      </c>
      <c r="D3" s="299" t="s">
        <v>1139</v>
      </c>
      <c r="E3" s="299"/>
      <c r="F3" s="314" t="s">
        <v>1140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210"/>
    </row>
    <row r="4" spans="1:19" ht="12.75" customHeight="1">
      <c r="A4" s="210"/>
      <c r="B4" s="222"/>
      <c r="C4" s="229" t="s">
        <v>507</v>
      </c>
      <c r="D4" s="301" t="s">
        <v>1141</v>
      </c>
      <c r="E4" s="301"/>
      <c r="F4" s="302" t="s">
        <v>1142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210"/>
    </row>
    <row r="5" spans="1:19" ht="12.75" customHeight="1">
      <c r="A5" s="210"/>
      <c r="B5" s="222"/>
      <c r="C5" s="229" t="s">
        <v>507</v>
      </c>
      <c r="D5" s="301" t="s">
        <v>325</v>
      </c>
      <c r="E5" s="301"/>
      <c r="F5" s="302" t="s">
        <v>1143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210"/>
    </row>
    <row r="6" spans="1:19" ht="12.75" customHeight="1">
      <c r="A6" s="210"/>
      <c r="B6" s="222"/>
      <c r="C6" s="229" t="s">
        <v>507</v>
      </c>
      <c r="D6" s="301" t="s">
        <v>405</v>
      </c>
      <c r="E6" s="301"/>
      <c r="F6" s="302" t="s">
        <v>1144</v>
      </c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10"/>
    </row>
    <row r="7" spans="1:19" ht="12.75" customHeight="1">
      <c r="A7" s="210"/>
      <c r="B7" s="222"/>
      <c r="C7" s="229" t="s">
        <v>507</v>
      </c>
      <c r="D7" s="301" t="s">
        <v>1145</v>
      </c>
      <c r="E7" s="301"/>
      <c r="F7" s="302" t="s">
        <v>1146</v>
      </c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210"/>
    </row>
    <row r="8" spans="1:19" ht="12.75" customHeight="1">
      <c r="A8" s="210"/>
      <c r="B8" s="222"/>
      <c r="C8" s="229" t="s">
        <v>507</v>
      </c>
      <c r="D8" s="303" t="s">
        <v>1147</v>
      </c>
      <c r="E8" s="303"/>
      <c r="F8" s="304" t="s">
        <v>1148</v>
      </c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210"/>
    </row>
    <row r="9" spans="1:19" ht="12.75" customHeight="1">
      <c r="A9" s="210"/>
      <c r="B9" s="227">
        <v>2.5</v>
      </c>
      <c r="C9" s="228" t="s">
        <v>507</v>
      </c>
      <c r="D9" s="299" t="s">
        <v>1149</v>
      </c>
      <c r="E9" s="299"/>
      <c r="F9" s="314" t="s">
        <v>1150</v>
      </c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210"/>
    </row>
    <row r="10" spans="1:19" ht="12.75" customHeight="1">
      <c r="A10" s="210"/>
      <c r="B10" s="222"/>
      <c r="C10" s="218" t="s">
        <v>507</v>
      </c>
      <c r="D10" s="301" t="s">
        <v>325</v>
      </c>
      <c r="E10" s="301"/>
      <c r="F10" s="302" t="s">
        <v>1151</v>
      </c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210"/>
    </row>
    <row r="11" spans="1:19" ht="12.75" customHeight="1">
      <c r="A11" s="210"/>
      <c r="B11" s="222"/>
      <c r="C11" s="218" t="s">
        <v>507</v>
      </c>
      <c r="D11" s="301" t="s">
        <v>1152</v>
      </c>
      <c r="E11" s="301"/>
      <c r="F11" s="302" t="s">
        <v>1153</v>
      </c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210"/>
    </row>
    <row r="12" spans="1:19" ht="12.75" customHeight="1">
      <c r="A12" s="210"/>
      <c r="B12" s="222"/>
      <c r="C12" s="218" t="s">
        <v>507</v>
      </c>
      <c r="D12" s="301" t="s">
        <v>1154</v>
      </c>
      <c r="E12" s="301"/>
      <c r="F12" s="302" t="s">
        <v>1155</v>
      </c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210"/>
    </row>
    <row r="13" spans="1:19" ht="12.75" customHeight="1">
      <c r="A13" s="210"/>
      <c r="B13" s="222"/>
      <c r="C13" s="218"/>
      <c r="D13" s="301"/>
      <c r="E13" s="301"/>
      <c r="F13" s="302" t="s">
        <v>1156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210"/>
    </row>
    <row r="14" spans="1:19" ht="12.75" customHeight="1">
      <c r="A14" s="210"/>
      <c r="B14" s="222"/>
      <c r="C14" s="218"/>
      <c r="D14" s="301" t="s">
        <v>588</v>
      </c>
      <c r="E14" s="301"/>
      <c r="F14" s="116" t="s">
        <v>1157</v>
      </c>
      <c r="G14" s="116"/>
      <c r="H14" s="307" t="str">
        <f ca="1">VLOOKUP("Page Number",Zone_Traduction,ref_langue_6,FALSE)</f>
        <v>Page Number</v>
      </c>
      <c r="I14" s="307"/>
      <c r="J14" s="307" t="str">
        <f ca="1">VLOOKUP("Book Name",Zone_Traduction,ref_langue_6,FALSE)</f>
        <v>Book Name</v>
      </c>
      <c r="K14" s="307"/>
      <c r="L14" s="307"/>
      <c r="M14" s="307" t="str">
        <f ca="1">VLOOKUP("List Name",Zone_Traduction,ref_langue_6,FALSE)</f>
        <v>List Name</v>
      </c>
      <c r="N14" s="307"/>
      <c r="O14" s="116"/>
      <c r="P14" s="116"/>
      <c r="Q14" s="116"/>
      <c r="R14" s="244"/>
      <c r="S14" s="210"/>
    </row>
    <row r="15" spans="1:19" ht="12.75" customHeight="1">
      <c r="A15" s="210"/>
      <c r="B15" s="222"/>
      <c r="C15" s="218"/>
      <c r="D15" s="301"/>
      <c r="E15" s="301"/>
      <c r="F15" s="116"/>
      <c r="G15" s="116"/>
      <c r="H15" s="309">
        <v>23</v>
      </c>
      <c r="I15" s="309"/>
      <c r="J15" s="317" t="s">
        <v>496</v>
      </c>
      <c r="K15" s="317"/>
      <c r="L15" s="317"/>
      <c r="M15" s="318" t="s">
        <v>684</v>
      </c>
      <c r="N15" s="318"/>
      <c r="O15" s="116"/>
      <c r="P15" s="116"/>
      <c r="Q15" s="116"/>
      <c r="R15" s="244"/>
      <c r="S15" s="210"/>
    </row>
    <row r="16" spans="1:19" ht="12.75" customHeight="1">
      <c r="A16" s="210"/>
      <c r="B16" s="222"/>
      <c r="C16" s="218" t="s">
        <v>507</v>
      </c>
      <c r="D16" s="301" t="s">
        <v>1158</v>
      </c>
      <c r="E16" s="301"/>
      <c r="F16" s="302" t="s">
        <v>1159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210"/>
    </row>
    <row r="17" spans="1:19" ht="12.75" customHeight="1">
      <c r="A17" s="210"/>
      <c r="B17" s="233"/>
      <c r="C17" s="234" t="s">
        <v>507</v>
      </c>
      <c r="D17" s="301" t="s">
        <v>1160</v>
      </c>
      <c r="E17" s="301"/>
      <c r="F17" s="304" t="s">
        <v>1161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210"/>
    </row>
    <row r="18" spans="1:19" ht="12.75" customHeight="1">
      <c r="A18" s="210"/>
      <c r="B18" s="235">
        <v>2.4</v>
      </c>
      <c r="C18" s="236" t="s">
        <v>507</v>
      </c>
      <c r="D18" s="319" t="s">
        <v>1162</v>
      </c>
      <c r="E18" s="319"/>
      <c r="F18" s="320" t="s">
        <v>1163</v>
      </c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210"/>
    </row>
    <row r="19" spans="1:19" ht="12.75" customHeight="1">
      <c r="A19" s="210"/>
      <c r="B19" s="222" t="s">
        <v>945</v>
      </c>
      <c r="C19" s="229" t="s">
        <v>507</v>
      </c>
      <c r="D19" s="301" t="s">
        <v>1145</v>
      </c>
      <c r="E19" s="301"/>
      <c r="F19" s="314" t="s">
        <v>1164</v>
      </c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210"/>
    </row>
    <row r="20" spans="1:19" ht="12.75" customHeight="1">
      <c r="A20" s="210"/>
      <c r="B20" s="237"/>
      <c r="C20" s="229" t="s">
        <v>507</v>
      </c>
      <c r="D20" s="301" t="s">
        <v>1022</v>
      </c>
      <c r="E20" s="301"/>
      <c r="F20" s="302" t="s">
        <v>1165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210"/>
    </row>
    <row r="21" spans="1:19" ht="12.75" customHeight="1">
      <c r="A21" s="210"/>
      <c r="B21" s="238"/>
      <c r="C21" s="234" t="s">
        <v>507</v>
      </c>
      <c r="D21" s="303" t="s">
        <v>948</v>
      </c>
      <c r="E21" s="303"/>
      <c r="F21" s="304" t="s">
        <v>1166</v>
      </c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210"/>
    </row>
    <row r="22" spans="1:19" ht="12.75" customHeight="1">
      <c r="A22" s="210"/>
      <c r="B22" s="237" t="s">
        <v>950</v>
      </c>
      <c r="C22" s="229" t="s">
        <v>507</v>
      </c>
      <c r="D22" s="301" t="s">
        <v>1167</v>
      </c>
      <c r="E22" s="301"/>
      <c r="F22" s="314" t="s">
        <v>1168</v>
      </c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210"/>
    </row>
    <row r="23" spans="1:19" ht="12.75" customHeight="1">
      <c r="A23" s="210"/>
      <c r="B23" s="238"/>
      <c r="C23" s="234" t="s">
        <v>507</v>
      </c>
      <c r="D23" s="303" t="s">
        <v>1169</v>
      </c>
      <c r="E23" s="303"/>
      <c r="F23" s="304" t="s">
        <v>1170</v>
      </c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210"/>
    </row>
    <row r="24" spans="1:19" ht="12.75" customHeight="1">
      <c r="A24" s="210"/>
      <c r="B24" s="237" t="s">
        <v>954</v>
      </c>
      <c r="C24" s="229" t="s">
        <v>507</v>
      </c>
      <c r="D24" s="301" t="s">
        <v>315</v>
      </c>
      <c r="E24" s="301"/>
      <c r="F24" s="305" t="s">
        <v>1171</v>
      </c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210"/>
    </row>
    <row r="25" spans="1:19" ht="12.75" customHeight="1">
      <c r="A25" s="210"/>
      <c r="B25" s="237"/>
      <c r="C25" s="229" t="s">
        <v>507</v>
      </c>
      <c r="D25" s="301" t="s">
        <v>1031</v>
      </c>
      <c r="E25" s="301"/>
      <c r="F25" s="302" t="s">
        <v>1172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210"/>
    </row>
    <row r="26" spans="1:19" ht="12.75" customHeight="1">
      <c r="A26" s="210"/>
      <c r="B26" s="237"/>
      <c r="C26" s="229"/>
      <c r="D26" s="301" t="s">
        <v>1031</v>
      </c>
      <c r="E26" s="301"/>
      <c r="F26" s="302" t="s">
        <v>1173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210"/>
    </row>
    <row r="27" spans="1:19" ht="12.75" customHeight="1">
      <c r="A27" s="210"/>
      <c r="B27" s="237"/>
      <c r="C27" s="229" t="s">
        <v>507</v>
      </c>
      <c r="D27" s="301" t="s">
        <v>1174</v>
      </c>
      <c r="E27" s="301"/>
      <c r="F27" s="302" t="s">
        <v>1175</v>
      </c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210"/>
    </row>
    <row r="28" spans="1:19" ht="12.75" customHeight="1">
      <c r="A28" s="210"/>
      <c r="B28" s="238"/>
      <c r="C28" s="234" t="s">
        <v>507</v>
      </c>
      <c r="D28" s="303" t="s">
        <v>1176</v>
      </c>
      <c r="E28" s="303"/>
      <c r="F28" s="304" t="s">
        <v>1177</v>
      </c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210"/>
    </row>
    <row r="29" spans="1:19" ht="12.75" customHeight="1">
      <c r="A29" s="210"/>
      <c r="B29" s="237" t="s">
        <v>962</v>
      </c>
      <c r="C29" s="229" t="s">
        <v>507</v>
      </c>
      <c r="D29" s="299" t="s">
        <v>1139</v>
      </c>
      <c r="E29" s="299"/>
      <c r="F29" s="305" t="s">
        <v>1178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210"/>
    </row>
    <row r="30" spans="1:19" ht="12.75" customHeight="1">
      <c r="A30" s="210"/>
      <c r="B30" s="237"/>
      <c r="C30" s="229" t="s">
        <v>507</v>
      </c>
      <c r="D30" s="301" t="s">
        <v>1179</v>
      </c>
      <c r="E30" s="301"/>
      <c r="F30" s="306" t="s">
        <v>1180</v>
      </c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210"/>
    </row>
    <row r="31" spans="1:19" ht="12.75" customHeight="1">
      <c r="A31" s="210"/>
      <c r="B31" s="237"/>
      <c r="C31" s="229" t="s">
        <v>507</v>
      </c>
      <c r="D31" s="301" t="s">
        <v>330</v>
      </c>
      <c r="E31" s="301"/>
      <c r="F31" s="306" t="s">
        <v>1181</v>
      </c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210"/>
    </row>
    <row r="32" spans="1:19" ht="12.75" customHeight="1">
      <c r="A32" s="210"/>
      <c r="B32" s="237"/>
      <c r="C32" s="229" t="s">
        <v>507</v>
      </c>
      <c r="D32" s="301" t="s">
        <v>1174</v>
      </c>
      <c r="E32" s="301"/>
      <c r="F32" s="306" t="s">
        <v>1182</v>
      </c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210"/>
    </row>
    <row r="33" spans="1:19" ht="12.75" customHeight="1">
      <c r="A33" s="210"/>
      <c r="B33" s="237"/>
      <c r="C33" s="229" t="s">
        <v>507</v>
      </c>
      <c r="D33" s="301" t="s">
        <v>1183</v>
      </c>
      <c r="E33" s="301"/>
      <c r="F33" s="306" t="s">
        <v>1184</v>
      </c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210"/>
    </row>
    <row r="34" spans="1:19" ht="12.75" customHeight="1">
      <c r="A34" s="210"/>
      <c r="B34" s="237"/>
      <c r="C34" s="229" t="s">
        <v>507</v>
      </c>
      <c r="D34" s="301" t="s">
        <v>971</v>
      </c>
      <c r="E34" s="301"/>
      <c r="F34" s="306" t="s">
        <v>1185</v>
      </c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210"/>
    </row>
    <row r="35" spans="1:19" ht="12.75" customHeight="1">
      <c r="A35" s="210"/>
      <c r="B35" s="237"/>
      <c r="C35" s="229" t="s">
        <v>507</v>
      </c>
      <c r="D35" s="301" t="s">
        <v>1186</v>
      </c>
      <c r="E35" s="301"/>
      <c r="F35" s="306" t="s">
        <v>1187</v>
      </c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210"/>
    </row>
    <row r="36" spans="1:19" ht="12.75" customHeight="1">
      <c r="A36" s="210"/>
      <c r="B36" s="238"/>
      <c r="C36" s="234" t="s">
        <v>507</v>
      </c>
      <c r="D36" s="301" t="s">
        <v>23</v>
      </c>
      <c r="E36" s="301"/>
      <c r="F36" s="312" t="s">
        <v>1188</v>
      </c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210"/>
    </row>
    <row r="37" spans="1:19" ht="12.75" customHeight="1">
      <c r="A37" s="210"/>
      <c r="B37" s="237">
        <v>1.7</v>
      </c>
      <c r="C37" s="229" t="s">
        <v>507</v>
      </c>
      <c r="D37" s="299" t="s">
        <v>1189</v>
      </c>
      <c r="E37" s="299"/>
      <c r="F37" s="305" t="s">
        <v>1190</v>
      </c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210"/>
    </row>
    <row r="38" spans="1:19" ht="12.75" customHeight="1">
      <c r="A38" s="210"/>
      <c r="B38" s="237"/>
      <c r="C38" s="229" t="s">
        <v>507</v>
      </c>
      <c r="D38" s="301" t="s">
        <v>1191</v>
      </c>
      <c r="E38" s="301"/>
      <c r="F38" s="321" t="s">
        <v>1192</v>
      </c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210"/>
    </row>
    <row r="39" spans="1:19" ht="12.75" customHeight="1">
      <c r="A39" s="210"/>
      <c r="B39" s="237"/>
      <c r="C39" s="229" t="s">
        <v>507</v>
      </c>
      <c r="D39" s="301" t="s">
        <v>380</v>
      </c>
      <c r="E39" s="301"/>
      <c r="F39" s="321" t="s">
        <v>1193</v>
      </c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210"/>
    </row>
    <row r="40" spans="1:19" ht="12.75" customHeight="1">
      <c r="A40" s="210"/>
      <c r="B40" s="238"/>
      <c r="C40" s="234" t="s">
        <v>507</v>
      </c>
      <c r="D40" s="303" t="s">
        <v>1139</v>
      </c>
      <c r="E40" s="303"/>
      <c r="F40" s="322" t="s">
        <v>1194</v>
      </c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210"/>
    </row>
    <row r="41" spans="1:19" ht="12.75" customHeight="1">
      <c r="A41" s="210"/>
      <c r="B41" s="237">
        <v>1.6</v>
      </c>
      <c r="C41" s="229" t="s">
        <v>507</v>
      </c>
      <c r="D41" s="299" t="s">
        <v>1160</v>
      </c>
      <c r="E41" s="299"/>
      <c r="F41" s="323" t="s">
        <v>1195</v>
      </c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210"/>
    </row>
    <row r="42" spans="1:19" ht="12.75" customHeight="1">
      <c r="A42" s="210"/>
      <c r="B42" s="237"/>
      <c r="C42" s="229" t="s">
        <v>507</v>
      </c>
      <c r="D42" s="301" t="s">
        <v>1191</v>
      </c>
      <c r="E42" s="301"/>
      <c r="F42" s="324" t="s">
        <v>1196</v>
      </c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210"/>
    </row>
    <row r="43" spans="1:19" ht="12.75" customHeight="1">
      <c r="A43" s="210"/>
      <c r="B43" s="238"/>
      <c r="C43" s="234" t="s">
        <v>507</v>
      </c>
      <c r="D43" s="301" t="s">
        <v>1179</v>
      </c>
      <c r="E43" s="301"/>
      <c r="F43" s="324" t="s">
        <v>1197</v>
      </c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210"/>
    </row>
    <row r="44" spans="1:19" ht="12.75" customHeight="1">
      <c r="A44" s="210"/>
      <c r="B44" s="237">
        <v>1.5</v>
      </c>
      <c r="C44" s="229" t="s">
        <v>507</v>
      </c>
      <c r="D44" s="299" t="s">
        <v>1179</v>
      </c>
      <c r="E44" s="299"/>
      <c r="F44" s="323" t="s">
        <v>1198</v>
      </c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210"/>
    </row>
    <row r="45" spans="1:19" ht="12.75" customHeight="1">
      <c r="A45" s="210"/>
      <c r="B45" s="237"/>
      <c r="C45" s="229" t="s">
        <v>507</v>
      </c>
      <c r="D45" s="301" t="s">
        <v>1199</v>
      </c>
      <c r="E45" s="301"/>
      <c r="F45" s="324" t="s">
        <v>1200</v>
      </c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210"/>
    </row>
    <row r="46" spans="1:19" ht="12.75" customHeight="1">
      <c r="A46" s="210"/>
      <c r="B46" s="237"/>
      <c r="C46" s="229" t="s">
        <v>507</v>
      </c>
      <c r="D46" s="301" t="s">
        <v>453</v>
      </c>
      <c r="E46" s="301"/>
      <c r="F46" s="324" t="s">
        <v>1201</v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210"/>
    </row>
    <row r="47" spans="1:19" ht="12.75" customHeight="1">
      <c r="A47" s="210"/>
      <c r="B47" s="237"/>
      <c r="C47" s="229" t="s">
        <v>507</v>
      </c>
      <c r="D47" s="301" t="s">
        <v>330</v>
      </c>
      <c r="E47" s="301"/>
      <c r="F47" s="324" t="s">
        <v>1202</v>
      </c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210"/>
    </row>
    <row r="48" spans="1:19" ht="12.75" customHeight="1">
      <c r="A48" s="210"/>
      <c r="B48" s="237"/>
      <c r="C48" s="229" t="s">
        <v>507</v>
      </c>
      <c r="D48" s="301" t="s">
        <v>1203</v>
      </c>
      <c r="E48" s="301"/>
      <c r="F48" s="324" t="s">
        <v>1204</v>
      </c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210"/>
    </row>
    <row r="49" spans="1:19" ht="12.75" customHeight="1">
      <c r="A49" s="210"/>
      <c r="B49" s="237"/>
      <c r="C49" s="229" t="s">
        <v>507</v>
      </c>
      <c r="D49" s="301" t="s">
        <v>1174</v>
      </c>
      <c r="E49" s="301"/>
      <c r="F49" s="324" t="s">
        <v>1205</v>
      </c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210"/>
    </row>
    <row r="50" spans="1:19" ht="12.75" customHeight="1">
      <c r="A50" s="210"/>
      <c r="B50" s="237"/>
      <c r="C50" s="229" t="s">
        <v>507</v>
      </c>
      <c r="D50" s="301" t="s">
        <v>380</v>
      </c>
      <c r="E50" s="301"/>
      <c r="F50" s="324" t="s">
        <v>1206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210"/>
    </row>
    <row r="51" spans="1:19" ht="12.75" customHeight="1">
      <c r="A51" s="210"/>
      <c r="B51" s="238"/>
      <c r="C51" s="234"/>
      <c r="D51" s="303" t="s">
        <v>1207</v>
      </c>
      <c r="E51" s="303"/>
      <c r="F51" s="325" t="s">
        <v>1208</v>
      </c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210"/>
    </row>
    <row r="52" spans="1:19" ht="12.75">
      <c r="A52" s="210"/>
      <c r="B52" s="239"/>
      <c r="C52" s="239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</row>
    <row r="55" spans="1:3" ht="12.75">
      <c r="A55" s="14"/>
      <c r="B55"/>
      <c r="C55"/>
    </row>
    <row r="56" spans="1:3" ht="12.75">
      <c r="A56" s="14"/>
      <c r="B56"/>
      <c r="C56"/>
    </row>
    <row r="57" spans="1:3" ht="12.75">
      <c r="A57" s="14"/>
      <c r="B57"/>
      <c r="C57"/>
    </row>
    <row r="58" spans="1:3" ht="12.75">
      <c r="A58" s="14"/>
      <c r="B58"/>
      <c r="C58"/>
    </row>
    <row r="59" spans="1:3" ht="12.75">
      <c r="A59" s="14"/>
      <c r="B59"/>
      <c r="C59"/>
    </row>
    <row r="60" spans="1:3" ht="12.75">
      <c r="A60" s="14"/>
      <c r="B60"/>
      <c r="C60"/>
    </row>
    <row r="61" spans="1:3" ht="12.75">
      <c r="A61" s="14"/>
      <c r="B61"/>
      <c r="C61"/>
    </row>
    <row r="62" spans="1:3" ht="12.75">
      <c r="A62" s="14"/>
      <c r="B62"/>
      <c r="C62"/>
    </row>
    <row r="63" spans="1:3" ht="12.75">
      <c r="A63" s="14"/>
      <c r="B63"/>
      <c r="C63"/>
    </row>
    <row r="69" ht="12.75">
      <c r="D69" s="14"/>
    </row>
    <row r="70" ht="12.75">
      <c r="D70" s="14"/>
    </row>
  </sheetData>
  <sheetProtection selectLockedCells="1" selectUnlockedCells="1"/>
  <mergeCells count="105">
    <mergeCell ref="D49:E49"/>
    <mergeCell ref="F49:R49"/>
    <mergeCell ref="D50:E50"/>
    <mergeCell ref="F50:R50"/>
    <mergeCell ref="D51:E51"/>
    <mergeCell ref="F51:R51"/>
    <mergeCell ref="D46:E46"/>
    <mergeCell ref="F46:R46"/>
    <mergeCell ref="D47:E47"/>
    <mergeCell ref="F47:R47"/>
    <mergeCell ref="D48:E48"/>
    <mergeCell ref="F48:R48"/>
    <mergeCell ref="D43:E43"/>
    <mergeCell ref="F43:R43"/>
    <mergeCell ref="D44:E44"/>
    <mergeCell ref="F44:R44"/>
    <mergeCell ref="D45:E45"/>
    <mergeCell ref="F45:R45"/>
    <mergeCell ref="D40:E40"/>
    <mergeCell ref="F40:R40"/>
    <mergeCell ref="D41:E41"/>
    <mergeCell ref="F41:R41"/>
    <mergeCell ref="D42:E42"/>
    <mergeCell ref="F42:R42"/>
    <mergeCell ref="D37:E37"/>
    <mergeCell ref="F37:R37"/>
    <mergeCell ref="D38:E38"/>
    <mergeCell ref="F38:R38"/>
    <mergeCell ref="D39:E39"/>
    <mergeCell ref="F39:R39"/>
    <mergeCell ref="D34:E34"/>
    <mergeCell ref="F34:R34"/>
    <mergeCell ref="D35:E35"/>
    <mergeCell ref="F35:R35"/>
    <mergeCell ref="D36:E36"/>
    <mergeCell ref="F36:R36"/>
    <mergeCell ref="D31:E31"/>
    <mergeCell ref="F31:R31"/>
    <mergeCell ref="D32:E32"/>
    <mergeCell ref="F32:R32"/>
    <mergeCell ref="D33:E33"/>
    <mergeCell ref="F33:R33"/>
    <mergeCell ref="D28:E28"/>
    <mergeCell ref="F28:R28"/>
    <mergeCell ref="D29:E29"/>
    <mergeCell ref="F29:R29"/>
    <mergeCell ref="D30:E30"/>
    <mergeCell ref="F30:R30"/>
    <mergeCell ref="D25:E25"/>
    <mergeCell ref="F25:R25"/>
    <mergeCell ref="D26:E26"/>
    <mergeCell ref="F26:R26"/>
    <mergeCell ref="D27:E27"/>
    <mergeCell ref="F27:R27"/>
    <mergeCell ref="D22:E22"/>
    <mergeCell ref="F22:R22"/>
    <mergeCell ref="D23:E23"/>
    <mergeCell ref="F23:R23"/>
    <mergeCell ref="D24:E24"/>
    <mergeCell ref="F24:R24"/>
    <mergeCell ref="D19:E19"/>
    <mergeCell ref="F19:R19"/>
    <mergeCell ref="D20:E20"/>
    <mergeCell ref="F20:R20"/>
    <mergeCell ref="D21:E21"/>
    <mergeCell ref="F21:R21"/>
    <mergeCell ref="D16:E16"/>
    <mergeCell ref="F16:R16"/>
    <mergeCell ref="D17:E17"/>
    <mergeCell ref="F17:R17"/>
    <mergeCell ref="D18:E18"/>
    <mergeCell ref="F18:R18"/>
    <mergeCell ref="D14:E14"/>
    <mergeCell ref="H14:I14"/>
    <mergeCell ref="J14:L14"/>
    <mergeCell ref="M14:N14"/>
    <mergeCell ref="D15:E15"/>
    <mergeCell ref="H15:I15"/>
    <mergeCell ref="J15:L15"/>
    <mergeCell ref="M15:N15"/>
    <mergeCell ref="D11:E11"/>
    <mergeCell ref="F11:R11"/>
    <mergeCell ref="D12:E12"/>
    <mergeCell ref="F12:R12"/>
    <mergeCell ref="D13:E13"/>
    <mergeCell ref="F13:R13"/>
    <mergeCell ref="D8:E8"/>
    <mergeCell ref="F8:R8"/>
    <mergeCell ref="D9:E9"/>
    <mergeCell ref="F9:R9"/>
    <mergeCell ref="D10:E10"/>
    <mergeCell ref="F10:R10"/>
    <mergeCell ref="D5:E5"/>
    <mergeCell ref="F5:R5"/>
    <mergeCell ref="D6:E6"/>
    <mergeCell ref="F6:R6"/>
    <mergeCell ref="D7:E7"/>
    <mergeCell ref="F7:R7"/>
    <mergeCell ref="B1:R1"/>
    <mergeCell ref="B2:C2"/>
    <mergeCell ref="D2:R2"/>
    <mergeCell ref="D3:E3"/>
    <mergeCell ref="F3:R3"/>
    <mergeCell ref="D4:E4"/>
    <mergeCell ref="F4:R4"/>
  </mergeCells>
  <dataValidations count="1">
    <dataValidation type="list" allowBlank="1" showErrorMessage="1" sqref="J15:L15">
      <formula1>Local_language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Muir</dc:creator>
  <cp:keywords/>
  <dc:description/>
  <cp:lastModifiedBy>John Muir</cp:lastModifiedBy>
  <dcterms:created xsi:type="dcterms:W3CDTF">2016-09-15T22:29:24Z</dcterms:created>
  <dcterms:modified xsi:type="dcterms:W3CDTF">2016-09-15T22:29:24Z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